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795" windowWidth="10320" windowHeight="1185" firstSheet="3" activeTab="30"/>
  </bookViews>
  <sheets>
    <sheet name="Расчёт ВС методом индексации" sheetId="33" r:id="rId1"/>
    <sheet name="Неподконтрольные расходы ВС" sheetId="30" r:id="rId2"/>
    <sheet name="Базовый уровень опер.расх.ВС " sheetId="32" r:id="rId3"/>
    <sheet name="Смета ВС_2016 " sheetId="45" r:id="rId4"/>
    <sheet name="Смета ВС_2016" sheetId="1" state="hidden" r:id="rId5"/>
    <sheet name="расшифровки ВС_2016" sheetId="4" state="hidden" r:id="rId6"/>
    <sheet name="Цеховые расходы " sheetId="37" state="hidden" r:id="rId7"/>
    <sheet name="Зар.плата осн.персонала" sheetId="8" state="hidden" r:id="rId8"/>
    <sheet name="Баланс ВС_2016 (2)" sheetId="42" state="hidden" r:id="rId9"/>
    <sheet name="Баланс ВО 2016" sheetId="43" state="hidden" r:id="rId10"/>
    <sheet name="Баланс ВС_2016" sheetId="28" state="hidden" r:id="rId11"/>
    <sheet name="Админ. расх. (2)" sheetId="29" state="hidden" r:id="rId12"/>
    <sheet name="Кап.вложения" sheetId="5" state="hidden" r:id="rId13"/>
    <sheet name="ИПЦ" sheetId="6" state="hidden" r:id="rId14"/>
    <sheet name="Прилож1.1 по-новому" sheetId="18" state="hidden" r:id="rId15"/>
    <sheet name="Смета ВО_2016" sheetId="2" state="hidden" r:id="rId16"/>
    <sheet name="Смета ВО_-2016" sheetId="46" r:id="rId17"/>
    <sheet name="Смета ВО_2016 (2)" sheetId="44" state="hidden" r:id="rId18"/>
    <sheet name="Экспертиза ВО" sheetId="10" state="hidden" r:id="rId19"/>
    <sheet name="эксплуат. затр. по очистным" sheetId="12" state="hidden" r:id="rId20"/>
    <sheet name="затраты на ремонт  _6 мес.2015" sheetId="38" state="hidden" r:id="rId21"/>
    <sheet name="по объемам_2013" sheetId="13" state="hidden" r:id="rId22"/>
    <sheet name="по объемам_2014 (2)" sheetId="16" state="hidden" r:id="rId23"/>
    <sheet name="сбытовые расходы" sheetId="15" state="hidden" r:id="rId24"/>
    <sheet name="расшифровка кредитов" sheetId="17" state="hidden" r:id="rId25"/>
    <sheet name="охрана озер" sheetId="27" state="hidden" r:id="rId26"/>
    <sheet name="налоги" sheetId="26" state="hidden" r:id="rId27"/>
    <sheet name="материалы- ВС,ВО" sheetId="23" state="hidden" r:id="rId28"/>
    <sheet name="ФОТ по тек. и капит. ремонту" sheetId="21" state="hidden" r:id="rId29"/>
    <sheet name="расшифровки ВО_2016" sheetId="3" state="hidden" r:id="rId30"/>
    <sheet name="Неподконтрольные расходы В0" sheetId="34" r:id="rId31"/>
    <sheet name="Базовый уровень опер.расх.ВО" sheetId="36" r:id="rId32"/>
    <sheet name="Расчёт ВО методом индексаци " sheetId="35" r:id="rId33"/>
    <sheet name="опер. расх. всего_версия май" sheetId="40" state="hidden" r:id="rId34"/>
    <sheet name="индекс изменения активоа" sheetId="41" state="hidden" r:id="rId35"/>
    <sheet name="Экспертиза ВС" sheetId="9" state="hidden" r:id="rId36"/>
    <sheet name="Лист3" sheetId="31" state="hidden" r:id="rId37"/>
    <sheet name="Лист2" sheetId="39" r:id="rId38"/>
  </sheets>
  <externalReferences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Excel_BuiltIn_Print_Area_28" localSheetId="11">[1]распределение!#REF!</definedName>
    <definedName name="Excel_BuiltIn_Print_Area_28" localSheetId="31">[1]распределение!#REF!</definedName>
    <definedName name="Excel_BuiltIn_Print_Area_28" localSheetId="2">[1]распределение!#REF!</definedName>
    <definedName name="Excel_BuiltIn_Print_Area_28" localSheetId="9">[1]распределение!#REF!</definedName>
    <definedName name="Excel_BuiltIn_Print_Area_28" localSheetId="10">[2]распределение!#REF!</definedName>
    <definedName name="Excel_BuiltIn_Print_Area_28" localSheetId="8">[2]распределение!#REF!</definedName>
    <definedName name="Excel_BuiltIn_Print_Area_28" localSheetId="27">[1]распределение!#REF!</definedName>
    <definedName name="Excel_BuiltIn_Print_Area_28" localSheetId="26">[1]распределение!#REF!</definedName>
    <definedName name="Excel_BuiltIn_Print_Area_28" localSheetId="30">[1]распределение!#REF!</definedName>
    <definedName name="Excel_BuiltIn_Print_Area_28" localSheetId="1">[1]распределение!#REF!</definedName>
    <definedName name="Excel_BuiltIn_Print_Area_28" localSheetId="14">[1]распределение!#REF!</definedName>
    <definedName name="Excel_BuiltIn_Print_Area_28" localSheetId="32">[1]распределение!#REF!</definedName>
    <definedName name="Excel_BuiltIn_Print_Area_28" localSheetId="0">[1]распределение!#REF!</definedName>
    <definedName name="Excel_BuiltIn_Print_Area_28" localSheetId="16">[1]распределение!#REF!</definedName>
    <definedName name="Excel_BuiltIn_Print_Area_28" localSheetId="17">[1]распределение!#REF!</definedName>
    <definedName name="Excel_BuiltIn_Print_Area_28" localSheetId="3">[1]распределение!#REF!</definedName>
    <definedName name="Excel_BuiltIn_Print_Area_28">[1]распределение!#REF!</definedName>
    <definedName name="Excel6" localSheetId="11">[3]распределение!#REF!</definedName>
    <definedName name="Excel6" localSheetId="31">[3]распределение!#REF!</definedName>
    <definedName name="Excel6" localSheetId="30">[3]распределение!#REF!</definedName>
    <definedName name="Excel6" localSheetId="32">[3]распределение!#REF!</definedName>
    <definedName name="Excel6" localSheetId="16">[3]распределение!#REF!</definedName>
    <definedName name="Excel6" localSheetId="17">[3]распределение!#REF!</definedName>
    <definedName name="Excel6" localSheetId="3">[3]распределение!#REF!</definedName>
    <definedName name="Excel6">[3]распределение!#REF!</definedName>
    <definedName name="ggg" localSheetId="11">[4]распределение!#REF!</definedName>
    <definedName name="ggg" localSheetId="31">[4]распределение!#REF!</definedName>
    <definedName name="ggg" localSheetId="30">[4]распределение!#REF!</definedName>
    <definedName name="ggg" localSheetId="32">[4]распределение!#REF!</definedName>
    <definedName name="ggg" localSheetId="16">[4]распределение!#REF!</definedName>
    <definedName name="ggg" localSheetId="17">[4]распределение!#REF!</definedName>
    <definedName name="ggg" localSheetId="3">[4]распределение!#REF!</definedName>
    <definedName name="ggg">[4]распределение!#REF!</definedName>
    <definedName name="gggg" localSheetId="11">#REF!</definedName>
    <definedName name="gggg" localSheetId="31">#REF!</definedName>
    <definedName name="gggg" localSheetId="2">#REF!</definedName>
    <definedName name="gggg" localSheetId="9">#REF!</definedName>
    <definedName name="gggg" localSheetId="30">#REF!</definedName>
    <definedName name="gggg" localSheetId="1">#REF!</definedName>
    <definedName name="gggg" localSheetId="32">#REF!</definedName>
    <definedName name="gggg" localSheetId="0">#REF!</definedName>
    <definedName name="gggg" localSheetId="16">#REF!</definedName>
    <definedName name="gggg" localSheetId="17">#REF!</definedName>
    <definedName name="gggg" localSheetId="3">#REF!</definedName>
    <definedName name="gggg" localSheetId="6">#REF!</definedName>
    <definedName name="gggg">#REF!</definedName>
    <definedName name="ааа" localSheetId="11">#REF!</definedName>
    <definedName name="ааа" localSheetId="31">#REF!</definedName>
    <definedName name="ааа" localSheetId="9">#REF!</definedName>
    <definedName name="ааа" localSheetId="30">#REF!</definedName>
    <definedName name="ааа" localSheetId="32">#REF!</definedName>
    <definedName name="ааа" localSheetId="16">#REF!</definedName>
    <definedName name="ааа" localSheetId="17">#REF!</definedName>
    <definedName name="ааа" localSheetId="3">#REF!</definedName>
    <definedName name="ааа" localSheetId="6">#REF!</definedName>
    <definedName name="ааа">#REF!</definedName>
    <definedName name="ааааааааа" localSheetId="11">#REF!</definedName>
    <definedName name="ааааааааа" localSheetId="31">#REF!</definedName>
    <definedName name="ааааааааа" localSheetId="9">#REF!</definedName>
    <definedName name="ааааааааа" localSheetId="30">#REF!</definedName>
    <definedName name="ааааааааа" localSheetId="32">#REF!</definedName>
    <definedName name="ааааааааа" localSheetId="16">#REF!</definedName>
    <definedName name="ааааааааа" localSheetId="17">#REF!</definedName>
    <definedName name="ааааааааа" localSheetId="3">#REF!</definedName>
    <definedName name="ааааааааа" localSheetId="6">#REF!</definedName>
    <definedName name="ааааааааа">#REF!</definedName>
    <definedName name="ааааап" localSheetId="11">[4]распределение!#REF!</definedName>
    <definedName name="ааааап" localSheetId="31">[4]распределение!#REF!</definedName>
    <definedName name="ааааап" localSheetId="2">[4]распределение!#REF!</definedName>
    <definedName name="ааааап" localSheetId="9">[4]распределение!#REF!</definedName>
    <definedName name="ааааап" localSheetId="30">[4]распределение!#REF!</definedName>
    <definedName name="ааааап" localSheetId="1">[4]распределение!#REF!</definedName>
    <definedName name="ааааап" localSheetId="32">[4]распределение!#REF!</definedName>
    <definedName name="ааааап" localSheetId="0">[4]распределение!#REF!</definedName>
    <definedName name="ааааап" localSheetId="16">[4]распределение!#REF!</definedName>
    <definedName name="ааааап" localSheetId="17">[4]распределение!#REF!</definedName>
    <definedName name="ааааап" localSheetId="3">[4]распределение!#REF!</definedName>
    <definedName name="ааааап" localSheetId="6">[4]распределение!#REF!</definedName>
    <definedName name="ааааап">[4]распределение!#REF!</definedName>
    <definedName name="_xlnm.Print_Titles" localSheetId="7">'Зар.плата осн.персонала'!$8:$10</definedName>
    <definedName name="_xlnm.Print_Titles" localSheetId="15">'Смета ВО_2016'!$5:$8</definedName>
    <definedName name="_xlnm.Print_Titles" localSheetId="16">'Смета ВО_-2016'!$5:$8</definedName>
    <definedName name="_xlnm.Print_Titles" localSheetId="17">'Смета ВО_2016 (2)'!$5:$8</definedName>
    <definedName name="_xlnm.Print_Titles" localSheetId="4">'Смета ВС_2016'!$5:$8</definedName>
    <definedName name="_xlnm.Print_Titles" localSheetId="3">'Смета ВС_2016 '!$5:$8</definedName>
    <definedName name="_xlnm.Print_Area" localSheetId="9">'Баланс ВО 2016'!$A$1:$J$49</definedName>
    <definedName name="_xlnm.Print_Area" localSheetId="10">'Баланс ВС_2016'!$A$1:$N$94</definedName>
    <definedName name="_xlnm.Print_Area" localSheetId="8">'Баланс ВС_2016 (2)'!$A$1:$N$94</definedName>
    <definedName name="_xlnm.Print_Area" localSheetId="14">'Прилож1.1 по-новому'!$A$1:$L$47</definedName>
    <definedName name="_xlnm.Print_Area" localSheetId="29">'расшифровки ВО_2016'!$A$2:$R$498</definedName>
    <definedName name="_xlnm.Print_Area" localSheetId="5">'расшифровки ВС_2016'!$A$2:$J$476</definedName>
    <definedName name="рорпо" localSheetId="11">#REF!</definedName>
    <definedName name="рорпо" localSheetId="31">#REF!</definedName>
    <definedName name="рорпо" localSheetId="2">#REF!</definedName>
    <definedName name="рорпо" localSheetId="9">#REF!</definedName>
    <definedName name="рорпо" localSheetId="10">#REF!</definedName>
    <definedName name="рорпо" localSheetId="8">#REF!</definedName>
    <definedName name="рорпо" localSheetId="27">#REF!</definedName>
    <definedName name="рорпо" localSheetId="26">#REF!</definedName>
    <definedName name="рорпо" localSheetId="30">#REF!</definedName>
    <definedName name="рорпо" localSheetId="1">#REF!</definedName>
    <definedName name="рорпо" localSheetId="14">#REF!</definedName>
    <definedName name="рорпо" localSheetId="32">#REF!</definedName>
    <definedName name="рорпо" localSheetId="0">#REF!</definedName>
    <definedName name="рорпо" localSheetId="16">#REF!</definedName>
    <definedName name="рорпо" localSheetId="17">#REF!</definedName>
    <definedName name="рорпо" localSheetId="3">#REF!</definedName>
    <definedName name="рорпо" localSheetId="6">#REF!</definedName>
    <definedName name="рорпо">#REF!</definedName>
    <definedName name="рррр" localSheetId="11">#REF!</definedName>
    <definedName name="рррр" localSheetId="31">#REF!</definedName>
    <definedName name="рррр" localSheetId="30">#REF!</definedName>
    <definedName name="рррр" localSheetId="32">#REF!</definedName>
    <definedName name="рррр" localSheetId="16">#REF!</definedName>
    <definedName name="рррр" localSheetId="17">#REF!</definedName>
    <definedName name="рррр" localSheetId="3">#REF!</definedName>
    <definedName name="рррр" localSheetId="6">#REF!</definedName>
    <definedName name="рррр">#REF!</definedName>
    <definedName name="уе" localSheetId="11">#REF!</definedName>
    <definedName name="уе" localSheetId="31">#REF!</definedName>
    <definedName name="уе" localSheetId="2">#REF!</definedName>
    <definedName name="уе" localSheetId="9">#REF!</definedName>
    <definedName name="уе" localSheetId="10">#REF!</definedName>
    <definedName name="уе" localSheetId="8">#REF!</definedName>
    <definedName name="уе" localSheetId="27">#REF!</definedName>
    <definedName name="уе" localSheetId="26">#REF!</definedName>
    <definedName name="уе" localSheetId="30">#REF!</definedName>
    <definedName name="уе" localSheetId="14">#REF!</definedName>
    <definedName name="уе" localSheetId="32">#REF!</definedName>
    <definedName name="уе" localSheetId="0">#REF!</definedName>
    <definedName name="уе" localSheetId="16">#REF!</definedName>
    <definedName name="уе" localSheetId="17">#REF!</definedName>
    <definedName name="уе" localSheetId="3">#REF!</definedName>
    <definedName name="уе" localSheetId="6">#REF!</definedName>
    <definedName name="уе">#REF!</definedName>
    <definedName name="характер" localSheetId="11">#REF!</definedName>
    <definedName name="характер" localSheetId="31">#REF!</definedName>
    <definedName name="характер" localSheetId="2">#REF!</definedName>
    <definedName name="характер" localSheetId="9">#REF!</definedName>
    <definedName name="характер" localSheetId="10">#REF!</definedName>
    <definedName name="характер" localSheetId="8">#REF!</definedName>
    <definedName name="характер" localSheetId="27">#REF!</definedName>
    <definedName name="характер" localSheetId="26">#REF!</definedName>
    <definedName name="характер" localSheetId="30">#REF!</definedName>
    <definedName name="характер" localSheetId="14">#REF!</definedName>
    <definedName name="характер" localSheetId="32">#REF!</definedName>
    <definedName name="характер" localSheetId="0">#REF!</definedName>
    <definedName name="характер" localSheetId="16">#REF!</definedName>
    <definedName name="характер" localSheetId="17">#REF!</definedName>
    <definedName name="характер" localSheetId="3">#REF!</definedName>
    <definedName name="характер" localSheetId="6">#REF!</definedName>
    <definedName name="характер">#REF!</definedName>
    <definedName name="ы" localSheetId="11">#REF!</definedName>
    <definedName name="ы" localSheetId="31">#REF!</definedName>
    <definedName name="ы" localSheetId="2">#REF!</definedName>
    <definedName name="ы" localSheetId="9">#REF!</definedName>
    <definedName name="ы" localSheetId="10">#REF!</definedName>
    <definedName name="ы" localSheetId="8">#REF!</definedName>
    <definedName name="ы" localSheetId="27">#REF!</definedName>
    <definedName name="ы" localSheetId="26">#REF!</definedName>
    <definedName name="ы" localSheetId="30">#REF!</definedName>
    <definedName name="ы" localSheetId="14">#REF!</definedName>
    <definedName name="ы" localSheetId="32">#REF!</definedName>
    <definedName name="ы" localSheetId="0">#REF!</definedName>
    <definedName name="ы" localSheetId="16">#REF!</definedName>
    <definedName name="ы" localSheetId="17">#REF!</definedName>
    <definedName name="ы" localSheetId="3">#REF!</definedName>
    <definedName name="ы" localSheetId="6">#REF!</definedName>
    <definedName name="ы">#REF!</definedName>
    <definedName name="ыы" localSheetId="11">#REF!</definedName>
    <definedName name="ыы" localSheetId="31">#REF!</definedName>
    <definedName name="ыы" localSheetId="2">#REF!</definedName>
    <definedName name="ыы" localSheetId="9">#REF!</definedName>
    <definedName name="ыы" localSheetId="10">#REF!</definedName>
    <definedName name="ыы" localSheetId="8">#REF!</definedName>
    <definedName name="ыы" localSheetId="27">#REF!</definedName>
    <definedName name="ыы" localSheetId="26">#REF!</definedName>
    <definedName name="ыы" localSheetId="30">#REF!</definedName>
    <definedName name="ыы" localSheetId="14">#REF!</definedName>
    <definedName name="ыы" localSheetId="32">#REF!</definedName>
    <definedName name="ыы" localSheetId="0">#REF!</definedName>
    <definedName name="ыы" localSheetId="16">#REF!</definedName>
    <definedName name="ыы" localSheetId="17">#REF!</definedName>
    <definedName name="ыы" localSheetId="3">#REF!</definedName>
    <definedName name="ыы" localSheetId="6">#REF!</definedName>
    <definedName name="ыы">#REF!</definedName>
    <definedName name="ыыыыыыыыыыыыыыыы" localSheetId="11">[5]распределение!#REF!</definedName>
    <definedName name="ыыыыыыыыыыыыыыыы" localSheetId="31">[5]распределение!#REF!</definedName>
    <definedName name="ыыыыыыыыыыыыыыыы" localSheetId="2">[5]распределение!#REF!</definedName>
    <definedName name="ыыыыыыыыыыыыыыыы" localSheetId="9">[5]распределение!#REF!</definedName>
    <definedName name="ыыыыыыыыыыыыыыыы" localSheetId="10">[5]распределение!#REF!</definedName>
    <definedName name="ыыыыыыыыыыыыыыыы" localSheetId="8">[5]распределение!#REF!</definedName>
    <definedName name="ыыыыыыыыыыыыыыыы" localSheetId="27">[5]распределение!#REF!</definedName>
    <definedName name="ыыыыыыыыыыыыыыыы" localSheetId="26">[5]распределение!#REF!</definedName>
    <definedName name="ыыыыыыыыыыыыыыыы" localSheetId="30">[5]распределение!#REF!</definedName>
    <definedName name="ыыыыыыыыыыыыыыыы" localSheetId="1">[5]распределение!#REF!</definedName>
    <definedName name="ыыыыыыыыыыыыыыыы" localSheetId="14">[5]распределение!#REF!</definedName>
    <definedName name="ыыыыыыыыыыыыыыыы" localSheetId="32">[5]распределение!#REF!</definedName>
    <definedName name="ыыыыыыыыыыыыыыыы" localSheetId="0">[5]распределение!#REF!</definedName>
    <definedName name="ыыыыыыыыыыыыыыыы" localSheetId="16">[5]распределение!#REF!</definedName>
    <definedName name="ыыыыыыыыыыыыыыыы" localSheetId="17">[5]распределение!#REF!</definedName>
    <definedName name="ыыыыыыыыыыыыыыыы" localSheetId="3">[5]распределение!#REF!</definedName>
    <definedName name="ыыыыыыыыыыыыыыыы" localSheetId="6">[5]распределение!#REF!</definedName>
    <definedName name="ыыыыыыыыыыыыыыыы">[5]распределение!#REF!</definedName>
  </definedNames>
  <calcPr calcId="145621"/>
</workbook>
</file>

<file path=xl/calcChain.xml><?xml version="1.0" encoding="utf-8"?>
<calcChain xmlns="http://schemas.openxmlformats.org/spreadsheetml/2006/main">
  <c r="V114" i="46" l="1"/>
  <c r="V111" i="46"/>
  <c r="V108" i="46" s="1"/>
  <c r="T123" i="46" l="1"/>
  <c r="O109" i="46"/>
  <c r="N109" i="46"/>
  <c r="P109" i="46" s="1"/>
  <c r="S105" i="46"/>
  <c r="S104" i="46"/>
  <c r="P104" i="46"/>
  <c r="H103" i="46"/>
  <c r="L101" i="46"/>
  <c r="K101" i="46"/>
  <c r="J101" i="46"/>
  <c r="Q101" i="46" s="1"/>
  <c r="I101" i="46"/>
  <c r="H101" i="46"/>
  <c r="G101" i="46"/>
  <c r="E101" i="46"/>
  <c r="Q100" i="46"/>
  <c r="Q99" i="46"/>
  <c r="T98" i="46"/>
  <c r="S98" i="46"/>
  <c r="Q98" i="46"/>
  <c r="T97" i="46"/>
  <c r="S97" i="46"/>
  <c r="Q97" i="46"/>
  <c r="T96" i="46"/>
  <c r="S96" i="46"/>
  <c r="Q96" i="46"/>
  <c r="T95" i="46"/>
  <c r="S95" i="46"/>
  <c r="Q95" i="46"/>
  <c r="Q94" i="46"/>
  <c r="T92" i="46"/>
  <c r="S92" i="46"/>
  <c r="Q92" i="46"/>
  <c r="T91" i="46"/>
  <c r="S91" i="46"/>
  <c r="Q91" i="46"/>
  <c r="T90" i="46"/>
  <c r="S90" i="46"/>
  <c r="Q90" i="46"/>
  <c r="T89" i="46"/>
  <c r="S89" i="46"/>
  <c r="Q89" i="46"/>
  <c r="Q88" i="46"/>
  <c r="L88" i="46"/>
  <c r="K88" i="46"/>
  <c r="I88" i="46"/>
  <c r="H88" i="46"/>
  <c r="G88" i="46"/>
  <c r="F88" i="46"/>
  <c r="E88" i="46"/>
  <c r="D88" i="46"/>
  <c r="P87" i="46"/>
  <c r="T86" i="46"/>
  <c r="S86" i="46"/>
  <c r="Q86" i="46"/>
  <c r="H85" i="46"/>
  <c r="E85" i="46"/>
  <c r="S85" i="46" s="1"/>
  <c r="Q84" i="46"/>
  <c r="L84" i="46"/>
  <c r="K84" i="46"/>
  <c r="I84" i="46"/>
  <c r="G84" i="46"/>
  <c r="E84" i="46"/>
  <c r="D84" i="46"/>
  <c r="T83" i="46"/>
  <c r="S83" i="46"/>
  <c r="Q83" i="46"/>
  <c r="P82" i="46"/>
  <c r="S82" i="46" s="1"/>
  <c r="T81" i="46"/>
  <c r="S81" i="46"/>
  <c r="Q81" i="46"/>
  <c r="F80" i="46"/>
  <c r="I78" i="46"/>
  <c r="H78" i="46"/>
  <c r="T77" i="46"/>
  <c r="S77" i="46"/>
  <c r="Q77" i="46"/>
  <c r="T76" i="46"/>
  <c r="S76" i="46"/>
  <c r="Q76" i="46"/>
  <c r="L75" i="46"/>
  <c r="K75" i="46"/>
  <c r="J75" i="46"/>
  <c r="Q75" i="46" s="1"/>
  <c r="I75" i="46"/>
  <c r="T75" i="46" s="1"/>
  <c r="H75" i="46"/>
  <c r="G75" i="46"/>
  <c r="E75" i="46"/>
  <c r="S75" i="46" s="1"/>
  <c r="D75" i="46"/>
  <c r="L74" i="46"/>
  <c r="K74" i="46"/>
  <c r="J74" i="46"/>
  <c r="Q74" i="46" s="1"/>
  <c r="I74" i="46"/>
  <c r="T74" i="46" s="1"/>
  <c r="H74" i="46"/>
  <c r="G74" i="46"/>
  <c r="F74" i="46"/>
  <c r="E74" i="46"/>
  <c r="S74" i="46" s="1"/>
  <c r="D74" i="46"/>
  <c r="L73" i="46"/>
  <c r="K73" i="46"/>
  <c r="J73" i="46"/>
  <c r="Q73" i="46" s="1"/>
  <c r="I73" i="46"/>
  <c r="T73" i="46" s="1"/>
  <c r="H73" i="46"/>
  <c r="G73" i="46"/>
  <c r="F73" i="46"/>
  <c r="E73" i="46"/>
  <c r="S73" i="46" s="1"/>
  <c r="D73" i="46"/>
  <c r="L72" i="46"/>
  <c r="K72" i="46"/>
  <c r="J72" i="46"/>
  <c r="Q72" i="46" s="1"/>
  <c r="I72" i="46"/>
  <c r="H72" i="46"/>
  <c r="G72" i="46"/>
  <c r="D72" i="46"/>
  <c r="L71" i="46"/>
  <c r="K71" i="46"/>
  <c r="J71" i="46"/>
  <c r="Q71" i="46" s="1"/>
  <c r="I71" i="46"/>
  <c r="H71" i="46"/>
  <c r="G71" i="46"/>
  <c r="F71" i="46"/>
  <c r="D71" i="46"/>
  <c r="L70" i="46"/>
  <c r="K70" i="46"/>
  <c r="J70" i="46"/>
  <c r="Q70" i="46" s="1"/>
  <c r="I70" i="46"/>
  <c r="T70" i="46" s="1"/>
  <c r="H70" i="46"/>
  <c r="G70" i="46"/>
  <c r="F70" i="46"/>
  <c r="E70" i="46"/>
  <c r="S70" i="46" s="1"/>
  <c r="D70" i="46"/>
  <c r="P69" i="46"/>
  <c r="O69" i="46"/>
  <c r="N69" i="46"/>
  <c r="M69" i="46"/>
  <c r="L69" i="46"/>
  <c r="K69" i="46"/>
  <c r="J69" i="46"/>
  <c r="Q69" i="46" s="1"/>
  <c r="I69" i="46"/>
  <c r="H69" i="46"/>
  <c r="G69" i="46"/>
  <c r="F69" i="46"/>
  <c r="E69" i="46"/>
  <c r="D69" i="46"/>
  <c r="Q68" i="46"/>
  <c r="I68" i="46"/>
  <c r="T68" i="46" s="1"/>
  <c r="H68" i="46"/>
  <c r="G68" i="46"/>
  <c r="F68" i="46"/>
  <c r="E68" i="46"/>
  <c r="S68" i="46" s="1"/>
  <c r="D68" i="46"/>
  <c r="Q67" i="46"/>
  <c r="I67" i="46"/>
  <c r="T67" i="46" s="1"/>
  <c r="H67" i="46"/>
  <c r="G67" i="46"/>
  <c r="F67" i="46"/>
  <c r="E67" i="46"/>
  <c r="S67" i="46" s="1"/>
  <c r="D67" i="46"/>
  <c r="Q66" i="46"/>
  <c r="I66" i="46"/>
  <c r="T66" i="46" s="1"/>
  <c r="H66" i="46"/>
  <c r="G66" i="46"/>
  <c r="F66" i="46"/>
  <c r="E66" i="46"/>
  <c r="S66" i="46" s="1"/>
  <c r="D66" i="46"/>
  <c r="Q65" i="46"/>
  <c r="I65" i="46"/>
  <c r="T65" i="46" s="1"/>
  <c r="H65" i="46"/>
  <c r="G65" i="46"/>
  <c r="F65" i="46"/>
  <c r="E65" i="46"/>
  <c r="S65" i="46" s="1"/>
  <c r="L64" i="46"/>
  <c r="K64" i="46"/>
  <c r="J64" i="46"/>
  <c r="Q64" i="46" s="1"/>
  <c r="I64" i="46"/>
  <c r="H64" i="46"/>
  <c r="G64" i="46"/>
  <c r="F64" i="46"/>
  <c r="E64" i="46"/>
  <c r="D64" i="46"/>
  <c r="L63" i="46"/>
  <c r="K63" i="46"/>
  <c r="J63" i="46"/>
  <c r="Q63" i="46" s="1"/>
  <c r="I63" i="46"/>
  <c r="T63" i="46" s="1"/>
  <c r="H63" i="46"/>
  <c r="G63" i="46"/>
  <c r="E63" i="46"/>
  <c r="S63" i="46" s="1"/>
  <c r="P62" i="46"/>
  <c r="O62" i="46"/>
  <c r="N62" i="46"/>
  <c r="M62" i="46"/>
  <c r="L62" i="46"/>
  <c r="K62" i="46"/>
  <c r="J62" i="46"/>
  <c r="Q62" i="46" s="1"/>
  <c r="I62" i="46"/>
  <c r="H62" i="46"/>
  <c r="G62" i="46"/>
  <c r="F62" i="46"/>
  <c r="E62" i="46"/>
  <c r="D62" i="46"/>
  <c r="P61" i="46"/>
  <c r="L61" i="46"/>
  <c r="K61" i="46"/>
  <c r="J61" i="46"/>
  <c r="Q61" i="46" s="1"/>
  <c r="I61" i="46"/>
  <c r="H61" i="46"/>
  <c r="G61" i="46"/>
  <c r="E61" i="46"/>
  <c r="D61" i="46"/>
  <c r="P60" i="46"/>
  <c r="O60" i="46"/>
  <c r="N60" i="46"/>
  <c r="M60" i="46"/>
  <c r="L60" i="46"/>
  <c r="K60" i="46"/>
  <c r="J60" i="46"/>
  <c r="Q60" i="46" s="1"/>
  <c r="I60" i="46"/>
  <c r="H60" i="46"/>
  <c r="G60" i="46"/>
  <c r="F60" i="46"/>
  <c r="E60" i="46"/>
  <c r="D60" i="46"/>
  <c r="T59" i="46"/>
  <c r="Q59" i="46"/>
  <c r="E59" i="46"/>
  <c r="S59" i="46" s="1"/>
  <c r="D59" i="46"/>
  <c r="P58" i="46"/>
  <c r="L58" i="46"/>
  <c r="K58" i="46"/>
  <c r="J58" i="46"/>
  <c r="Q58" i="46" s="1"/>
  <c r="I58" i="46"/>
  <c r="H58" i="46"/>
  <c r="L57" i="46"/>
  <c r="K57" i="46"/>
  <c r="J57" i="46"/>
  <c r="I57" i="46"/>
  <c r="H57" i="46"/>
  <c r="P56" i="46"/>
  <c r="L56" i="46"/>
  <c r="K56" i="46"/>
  <c r="J56" i="46"/>
  <c r="Q56" i="46" s="1"/>
  <c r="I56" i="46"/>
  <c r="H56" i="46"/>
  <c r="F56" i="46"/>
  <c r="E56" i="46"/>
  <c r="D56" i="46"/>
  <c r="P55" i="46"/>
  <c r="L55" i="46"/>
  <c r="K55" i="46"/>
  <c r="J55" i="46"/>
  <c r="Q55" i="46" s="1"/>
  <c r="I55" i="46"/>
  <c r="H55" i="46"/>
  <c r="P54" i="46"/>
  <c r="S54" i="46" s="1"/>
  <c r="L54" i="46"/>
  <c r="K54" i="46"/>
  <c r="J54" i="46"/>
  <c r="Q54" i="46" s="1"/>
  <c r="I54" i="46"/>
  <c r="H54" i="46"/>
  <c r="P53" i="46"/>
  <c r="L53" i="46"/>
  <c r="K53" i="46"/>
  <c r="J53" i="46"/>
  <c r="Q53" i="46" s="1"/>
  <c r="I53" i="46"/>
  <c r="H53" i="46"/>
  <c r="P52" i="46"/>
  <c r="S52" i="46" s="1"/>
  <c r="L52" i="46"/>
  <c r="K52" i="46"/>
  <c r="J52" i="46"/>
  <c r="Q52" i="46" s="1"/>
  <c r="I52" i="46"/>
  <c r="H52" i="46"/>
  <c r="L51" i="46"/>
  <c r="K51" i="46"/>
  <c r="J51" i="46"/>
  <c r="I51" i="46"/>
  <c r="H51" i="46"/>
  <c r="P50" i="46"/>
  <c r="P51" i="46" s="1"/>
  <c r="L50" i="46"/>
  <c r="K50" i="46"/>
  <c r="J50" i="46"/>
  <c r="Q50" i="46" s="1"/>
  <c r="I50" i="46"/>
  <c r="H50" i="46"/>
  <c r="P49" i="46"/>
  <c r="O49" i="46"/>
  <c r="N49" i="46"/>
  <c r="M49" i="46"/>
  <c r="L49" i="46"/>
  <c r="K49" i="46"/>
  <c r="J49" i="46"/>
  <c r="Q49" i="46" s="1"/>
  <c r="I49" i="46"/>
  <c r="H49" i="46"/>
  <c r="G49" i="46"/>
  <c r="F49" i="46"/>
  <c r="E49" i="46"/>
  <c r="D49" i="46"/>
  <c r="P48" i="46"/>
  <c r="Q48" i="46" s="1"/>
  <c r="P47" i="46"/>
  <c r="L47" i="46"/>
  <c r="K47" i="46"/>
  <c r="J47" i="46"/>
  <c r="Q47" i="46" s="1"/>
  <c r="I47" i="46"/>
  <c r="H47" i="46"/>
  <c r="P46" i="46"/>
  <c r="L46" i="46"/>
  <c r="K46" i="46"/>
  <c r="J46" i="46"/>
  <c r="Q46" i="46" s="1"/>
  <c r="I46" i="46"/>
  <c r="H46" i="46"/>
  <c r="P45" i="46"/>
  <c r="L45" i="46"/>
  <c r="K45" i="46"/>
  <c r="J45" i="46"/>
  <c r="Q45" i="46" s="1"/>
  <c r="I45" i="46"/>
  <c r="H45" i="46"/>
  <c r="P44" i="46"/>
  <c r="S44" i="46" s="1"/>
  <c r="L44" i="46"/>
  <c r="K44" i="46"/>
  <c r="J44" i="46"/>
  <c r="Q44" i="46" s="1"/>
  <c r="I44" i="46"/>
  <c r="H44" i="46"/>
  <c r="P43" i="46"/>
  <c r="L43" i="46"/>
  <c r="K43" i="46"/>
  <c r="J43" i="46"/>
  <c r="Q43" i="46" s="1"/>
  <c r="I43" i="46"/>
  <c r="H43" i="46"/>
  <c r="P42" i="46"/>
  <c r="S42" i="46" s="1"/>
  <c r="L42" i="46"/>
  <c r="K42" i="46"/>
  <c r="J42" i="46"/>
  <c r="Q42" i="46" s="1"/>
  <c r="I42" i="46"/>
  <c r="H42" i="46"/>
  <c r="P41" i="46"/>
  <c r="O41" i="46"/>
  <c r="N41" i="46"/>
  <c r="M41" i="46"/>
  <c r="L41" i="46"/>
  <c r="K41" i="46"/>
  <c r="J41" i="46"/>
  <c r="Q41" i="46" s="1"/>
  <c r="I41" i="46"/>
  <c r="H41" i="46"/>
  <c r="G41" i="46"/>
  <c r="F41" i="46"/>
  <c r="E41" i="46"/>
  <c r="D41" i="46"/>
  <c r="P40" i="46"/>
  <c r="O40" i="46"/>
  <c r="N40" i="46"/>
  <c r="M40" i="46"/>
  <c r="L40" i="46"/>
  <c r="K40" i="46"/>
  <c r="J40" i="46"/>
  <c r="Q40" i="46" s="1"/>
  <c r="I40" i="46"/>
  <c r="H40" i="46"/>
  <c r="G40" i="46"/>
  <c r="F40" i="46"/>
  <c r="E40" i="46"/>
  <c r="D40" i="46"/>
  <c r="O39" i="46"/>
  <c r="N39" i="46"/>
  <c r="M39" i="46"/>
  <c r="L39" i="46"/>
  <c r="K39" i="46"/>
  <c r="J39" i="46"/>
  <c r="Q39" i="46" s="1"/>
  <c r="I39" i="46"/>
  <c r="T39" i="46" s="1"/>
  <c r="H39" i="46"/>
  <c r="G39" i="46"/>
  <c r="F39" i="46"/>
  <c r="E39" i="46"/>
  <c r="S39" i="46" s="1"/>
  <c r="O38" i="46"/>
  <c r="N38" i="46"/>
  <c r="M38" i="46"/>
  <c r="L38" i="46"/>
  <c r="K38" i="46"/>
  <c r="J38" i="46"/>
  <c r="Q38" i="46" s="1"/>
  <c r="I38" i="46"/>
  <c r="T38" i="46" s="1"/>
  <c r="H38" i="46"/>
  <c r="G38" i="46"/>
  <c r="F38" i="46"/>
  <c r="E38" i="46"/>
  <c r="S38" i="46" s="1"/>
  <c r="P37" i="46"/>
  <c r="O37" i="46"/>
  <c r="N37" i="46"/>
  <c r="M37" i="46"/>
  <c r="L37" i="46"/>
  <c r="K37" i="46"/>
  <c r="J37" i="46"/>
  <c r="Q37" i="46" s="1"/>
  <c r="I37" i="46"/>
  <c r="H37" i="46"/>
  <c r="G37" i="46"/>
  <c r="F37" i="46"/>
  <c r="E37" i="46"/>
  <c r="O36" i="46"/>
  <c r="N36" i="46"/>
  <c r="M36" i="46"/>
  <c r="L36" i="46"/>
  <c r="K36" i="46"/>
  <c r="J36" i="46"/>
  <c r="I36" i="46"/>
  <c r="T36" i="46" s="1"/>
  <c r="H36" i="46"/>
  <c r="G36" i="46"/>
  <c r="F36" i="46"/>
  <c r="E36" i="46"/>
  <c r="S36" i="46" s="1"/>
  <c r="D36" i="46"/>
  <c r="O35" i="46"/>
  <c r="N35" i="46"/>
  <c r="N34" i="46" s="1"/>
  <c r="M35" i="46"/>
  <c r="L35" i="46"/>
  <c r="L34" i="46" s="1"/>
  <c r="K35" i="46"/>
  <c r="J35" i="46"/>
  <c r="Q35" i="46" s="1"/>
  <c r="I35" i="46"/>
  <c r="T35" i="46" s="1"/>
  <c r="H35" i="46"/>
  <c r="H34" i="46" s="1"/>
  <c r="G35" i="46"/>
  <c r="F35" i="46"/>
  <c r="F34" i="46" s="1"/>
  <c r="E35" i="46"/>
  <c r="S35" i="46" s="1"/>
  <c r="D35" i="46"/>
  <c r="P34" i="46"/>
  <c r="O34" i="46"/>
  <c r="M34" i="46"/>
  <c r="K34" i="46"/>
  <c r="I34" i="46"/>
  <c r="T34" i="46" s="1"/>
  <c r="G34" i="46"/>
  <c r="E34" i="46"/>
  <c r="Q33" i="46"/>
  <c r="Q32" i="46"/>
  <c r="O32" i="46"/>
  <c r="N32" i="46"/>
  <c r="M32" i="46"/>
  <c r="E32" i="46"/>
  <c r="O31" i="46"/>
  <c r="N31" i="46"/>
  <c r="M31" i="46"/>
  <c r="L31" i="46"/>
  <c r="K31" i="46"/>
  <c r="J31" i="46"/>
  <c r="Q31" i="46" s="1"/>
  <c r="I31" i="46"/>
  <c r="T31" i="46" s="1"/>
  <c r="H31" i="46"/>
  <c r="G31" i="46"/>
  <c r="F31" i="46"/>
  <c r="E31" i="46"/>
  <c r="S31" i="46" s="1"/>
  <c r="D31" i="46"/>
  <c r="O30" i="46"/>
  <c r="N30" i="46"/>
  <c r="M30" i="46"/>
  <c r="L30" i="46"/>
  <c r="K30" i="46"/>
  <c r="J30" i="46"/>
  <c r="I30" i="46"/>
  <c r="H30" i="46"/>
  <c r="G30" i="46"/>
  <c r="F30" i="46"/>
  <c r="F28" i="46" s="1"/>
  <c r="E30" i="46"/>
  <c r="D30" i="46"/>
  <c r="D28" i="46" s="1"/>
  <c r="O29" i="46"/>
  <c r="O28" i="46" s="1"/>
  <c r="N29" i="46"/>
  <c r="L29" i="46"/>
  <c r="L28" i="46" s="1"/>
  <c r="K29" i="46"/>
  <c r="J29" i="46"/>
  <c r="Q29" i="46" s="1"/>
  <c r="I29" i="46"/>
  <c r="H29" i="46"/>
  <c r="H28" i="46" s="1"/>
  <c r="G29" i="46"/>
  <c r="E29" i="46"/>
  <c r="P28" i="46"/>
  <c r="M28" i="46"/>
  <c r="K28" i="46"/>
  <c r="I28" i="46"/>
  <c r="T28" i="46" s="1"/>
  <c r="G28" i="46"/>
  <c r="E28" i="46"/>
  <c r="T27" i="46"/>
  <c r="P27" i="46"/>
  <c r="S27" i="46" s="1"/>
  <c r="L27" i="46"/>
  <c r="K27" i="46"/>
  <c r="J27" i="46"/>
  <c r="Q27" i="46" s="1"/>
  <c r="I27" i="46"/>
  <c r="H27" i="46"/>
  <c r="D27" i="46"/>
  <c r="T26" i="46"/>
  <c r="O26" i="46"/>
  <c r="N26" i="46"/>
  <c r="M26" i="46"/>
  <c r="L26" i="46"/>
  <c r="K26" i="46"/>
  <c r="J26" i="46"/>
  <c r="Q26" i="46" s="1"/>
  <c r="I26" i="46"/>
  <c r="H26" i="46"/>
  <c r="G26" i="46"/>
  <c r="E26" i="46"/>
  <c r="S26" i="46" s="1"/>
  <c r="D26" i="46"/>
  <c r="T25" i="46"/>
  <c r="O25" i="46"/>
  <c r="N25" i="46"/>
  <c r="M25" i="46"/>
  <c r="L25" i="46"/>
  <c r="K25" i="46"/>
  <c r="J25" i="46"/>
  <c r="Q25" i="46" s="1"/>
  <c r="I25" i="46"/>
  <c r="H25" i="46"/>
  <c r="G25" i="46"/>
  <c r="F25" i="46"/>
  <c r="E25" i="46"/>
  <c r="S25" i="46" s="1"/>
  <c r="D25" i="46"/>
  <c r="D39" i="46" s="1"/>
  <c r="O24" i="46"/>
  <c r="N24" i="46"/>
  <c r="M24" i="46"/>
  <c r="L24" i="46"/>
  <c r="K24" i="46"/>
  <c r="J24" i="46"/>
  <c r="Q24" i="46" s="1"/>
  <c r="I24" i="46"/>
  <c r="T24" i="46" s="1"/>
  <c r="H24" i="46"/>
  <c r="G24" i="46"/>
  <c r="F24" i="46"/>
  <c r="E24" i="46"/>
  <c r="S24" i="46" s="1"/>
  <c r="D24" i="46"/>
  <c r="D38" i="46" s="1"/>
  <c r="D37" i="46" s="1"/>
  <c r="D34" i="46" s="1"/>
  <c r="P23" i="46"/>
  <c r="O23" i="46"/>
  <c r="M23" i="46"/>
  <c r="K23" i="46"/>
  <c r="I23" i="46"/>
  <c r="T23" i="46" s="1"/>
  <c r="G23" i="46"/>
  <c r="E23" i="46"/>
  <c r="K22" i="46"/>
  <c r="L22" i="46" s="1"/>
  <c r="J22" i="46"/>
  <c r="Q22" i="46" s="1"/>
  <c r="O21" i="46"/>
  <c r="N21" i="46"/>
  <c r="M21" i="46"/>
  <c r="L21" i="46"/>
  <c r="K21" i="46"/>
  <c r="J21" i="46"/>
  <c r="Q21" i="46" s="1"/>
  <c r="I21" i="46"/>
  <c r="T21" i="46" s="1"/>
  <c r="G21" i="46"/>
  <c r="F21" i="46"/>
  <c r="Q20" i="46"/>
  <c r="R19" i="46"/>
  <c r="O19" i="46"/>
  <c r="N19" i="46"/>
  <c r="M19" i="46"/>
  <c r="L19" i="46"/>
  <c r="K19" i="46"/>
  <c r="J19" i="46"/>
  <c r="Q19" i="46" s="1"/>
  <c r="I19" i="46"/>
  <c r="T19" i="46" s="1"/>
  <c r="H19" i="46"/>
  <c r="G19" i="46"/>
  <c r="F19" i="46"/>
  <c r="E19" i="46"/>
  <c r="S19" i="46" s="1"/>
  <c r="D19" i="46"/>
  <c r="Q18" i="46"/>
  <c r="R17" i="46"/>
  <c r="O17" i="46"/>
  <c r="O15" i="46" s="1"/>
  <c r="O10" i="46" s="1"/>
  <c r="O79" i="46" s="1"/>
  <c r="O93" i="46" s="1"/>
  <c r="N17" i="46"/>
  <c r="M17" i="46"/>
  <c r="M15" i="46" s="1"/>
  <c r="M10" i="46" s="1"/>
  <c r="M79" i="46" s="1"/>
  <c r="M93" i="46" s="1"/>
  <c r="L17" i="46"/>
  <c r="K17" i="46"/>
  <c r="K15" i="46" s="1"/>
  <c r="K10" i="46" s="1"/>
  <c r="K79" i="46" s="1"/>
  <c r="K87" i="46" s="1"/>
  <c r="J17" i="46"/>
  <c r="Q17" i="46" s="1"/>
  <c r="I17" i="46"/>
  <c r="T17" i="46" s="1"/>
  <c r="H17" i="46"/>
  <c r="G17" i="46"/>
  <c r="G15" i="46" s="1"/>
  <c r="G10" i="46" s="1"/>
  <c r="G79" i="46" s="1"/>
  <c r="G87" i="46" s="1"/>
  <c r="F17" i="46"/>
  <c r="E17" i="46"/>
  <c r="S17" i="46" s="1"/>
  <c r="D17" i="46"/>
  <c r="R16" i="46"/>
  <c r="R15" i="46" s="1"/>
  <c r="O16" i="46"/>
  <c r="N16" i="46"/>
  <c r="M16" i="46"/>
  <c r="L16" i="46"/>
  <c r="K16" i="46"/>
  <c r="J16" i="46"/>
  <c r="Q16" i="46" s="1"/>
  <c r="I16" i="46"/>
  <c r="T16" i="46" s="1"/>
  <c r="H16" i="46"/>
  <c r="G16" i="46"/>
  <c r="F16" i="46"/>
  <c r="E16" i="46"/>
  <c r="S16" i="46" s="1"/>
  <c r="D16" i="46"/>
  <c r="P15" i="46"/>
  <c r="N15" i="46"/>
  <c r="L15" i="46"/>
  <c r="J15" i="46"/>
  <c r="H15" i="46"/>
  <c r="F15" i="46"/>
  <c r="D15" i="46"/>
  <c r="O14" i="46"/>
  <c r="N14" i="46"/>
  <c r="M14" i="46"/>
  <c r="L14" i="46"/>
  <c r="K14" i="46"/>
  <c r="J14" i="46"/>
  <c r="Q14" i="46" s="1"/>
  <c r="I14" i="46"/>
  <c r="T14" i="46" s="1"/>
  <c r="H14" i="46"/>
  <c r="G14" i="46"/>
  <c r="F14" i="46"/>
  <c r="E14" i="46"/>
  <c r="S14" i="46" s="1"/>
  <c r="D14" i="46"/>
  <c r="O13" i="46"/>
  <c r="N13" i="46"/>
  <c r="M13" i="46"/>
  <c r="L13" i="46"/>
  <c r="K13" i="46"/>
  <c r="J13" i="46"/>
  <c r="Q13" i="46" s="1"/>
  <c r="I13" i="46"/>
  <c r="T13" i="46" s="1"/>
  <c r="H13" i="46"/>
  <c r="G13" i="46"/>
  <c r="F13" i="46"/>
  <c r="E13" i="46"/>
  <c r="S13" i="46" s="1"/>
  <c r="D13" i="46"/>
  <c r="O12" i="46"/>
  <c r="N12" i="46"/>
  <c r="M12" i="46"/>
  <c r="L12" i="46"/>
  <c r="K12" i="46"/>
  <c r="J12" i="46"/>
  <c r="Q12" i="46" s="1"/>
  <c r="Q11" i="46" s="1"/>
  <c r="I12" i="46"/>
  <c r="T12" i="46" s="1"/>
  <c r="H12" i="46"/>
  <c r="G12" i="46"/>
  <c r="F12" i="46"/>
  <c r="E12" i="46"/>
  <c r="S12" i="46" s="1"/>
  <c r="D12" i="46"/>
  <c r="R11" i="46"/>
  <c r="P11" i="46"/>
  <c r="S11" i="46" s="1"/>
  <c r="O11" i="46"/>
  <c r="N11" i="46"/>
  <c r="M11" i="46"/>
  <c r="L11" i="46"/>
  <c r="K11" i="46"/>
  <c r="J11" i="46"/>
  <c r="I11" i="46"/>
  <c r="H11" i="46"/>
  <c r="G11" i="46"/>
  <c r="F11" i="46"/>
  <c r="E11" i="46"/>
  <c r="D11" i="46"/>
  <c r="F23" i="46" l="1"/>
  <c r="F10" i="46" s="1"/>
  <c r="F79" i="46" s="1"/>
  <c r="H23" i="46"/>
  <c r="H10" i="46" s="1"/>
  <c r="H79" i="46" s="1"/>
  <c r="H87" i="46" s="1"/>
  <c r="H80" i="46" s="1"/>
  <c r="H1" i="46" s="1"/>
  <c r="L23" i="46"/>
  <c r="N23" i="46"/>
  <c r="S28" i="46"/>
  <c r="T40" i="46"/>
  <c r="T50" i="46"/>
  <c r="T56" i="46"/>
  <c r="S60" i="46"/>
  <c r="S62" i="46"/>
  <c r="T69" i="46"/>
  <c r="P10" i="46"/>
  <c r="P79" i="46" s="1"/>
  <c r="E15" i="46"/>
  <c r="E10" i="46" s="1"/>
  <c r="E79" i="46" s="1"/>
  <c r="E87" i="46" s="1"/>
  <c r="E80" i="46" s="1"/>
  <c r="S80" i="46" s="1"/>
  <c r="I15" i="46"/>
  <c r="I10" i="46" s="1"/>
  <c r="I79" i="46" s="1"/>
  <c r="I87" i="46" s="1"/>
  <c r="L10" i="46"/>
  <c r="L79" i="46" s="1"/>
  <c r="L87" i="46" s="1"/>
  <c r="S23" i="46"/>
  <c r="J28" i="46"/>
  <c r="Q28" i="46" s="1"/>
  <c r="N28" i="46"/>
  <c r="J34" i="46"/>
  <c r="Q34" i="46" s="1"/>
  <c r="S34" i="46"/>
  <c r="T37" i="46"/>
  <c r="T41" i="46"/>
  <c r="T43" i="46"/>
  <c r="T45" i="46"/>
  <c r="T47" i="46"/>
  <c r="T49" i="46"/>
  <c r="T53" i="46"/>
  <c r="T55" i="46"/>
  <c r="T58" i="46"/>
  <c r="S61" i="46"/>
  <c r="Q15" i="46"/>
  <c r="N10" i="46"/>
  <c r="N79" i="46" s="1"/>
  <c r="N93" i="46" s="1"/>
  <c r="R80" i="46"/>
  <c r="T79" i="46"/>
  <c r="S79" i="46"/>
  <c r="S10" i="46"/>
  <c r="T11" i="46"/>
  <c r="T15" i="46"/>
  <c r="D23" i="46"/>
  <c r="D10" i="46" s="1"/>
  <c r="D79" i="46" s="1"/>
  <c r="J23" i="46"/>
  <c r="S37" i="46"/>
  <c r="S40" i="46"/>
  <c r="S41" i="46"/>
  <c r="T42" i="46"/>
  <c r="S43" i="46"/>
  <c r="T44" i="46"/>
  <c r="S45" i="46"/>
  <c r="S47" i="46"/>
  <c r="S49" i="46"/>
  <c r="D93" i="46"/>
  <c r="D104" i="46" s="1"/>
  <c r="F93" i="46"/>
  <c r="F100" i="46" s="1"/>
  <c r="F104" i="46" s="1"/>
  <c r="H93" i="46"/>
  <c r="H104" i="46" s="1"/>
  <c r="T10" i="46"/>
  <c r="T51" i="46"/>
  <c r="S51" i="46"/>
  <c r="S50" i="46"/>
  <c r="Q51" i="46"/>
  <c r="S87" i="46"/>
  <c r="E93" i="46"/>
  <c r="T52" i="46"/>
  <c r="S53" i="46"/>
  <c r="T54" i="46"/>
  <c r="S55" i="46"/>
  <c r="S56" i="46"/>
  <c r="S58" i="46"/>
  <c r="T60" i="46"/>
  <c r="T61" i="46"/>
  <c r="T62" i="46"/>
  <c r="S69" i="46"/>
  <c r="Q82" i="46"/>
  <c r="T82" i="46"/>
  <c r="G85" i="46"/>
  <c r="T87" i="46"/>
  <c r="N111" i="46"/>
  <c r="S15" i="46" l="1"/>
  <c r="O111" i="46"/>
  <c r="O110" i="46" s="1"/>
  <c r="J85" i="46"/>
  <c r="I85" i="46"/>
  <c r="G80" i="46"/>
  <c r="G93" i="46" s="1"/>
  <c r="G104" i="46" s="1"/>
  <c r="E104" i="46"/>
  <c r="S93" i="46"/>
  <c r="H105" i="46"/>
  <c r="H107" i="46"/>
  <c r="H106" i="46"/>
  <c r="Q23" i="46"/>
  <c r="Q10" i="46" s="1"/>
  <c r="J10" i="46"/>
  <c r="J79" i="46" s="1"/>
  <c r="G107" i="46" l="1"/>
  <c r="G106" i="46"/>
  <c r="G105" i="46"/>
  <c r="Q85" i="46"/>
  <c r="K85" i="46"/>
  <c r="Q79" i="46"/>
  <c r="J87" i="46"/>
  <c r="Q87" i="46" s="1"/>
  <c r="T85" i="46"/>
  <c r="I80" i="46"/>
  <c r="P111" i="46"/>
  <c r="P110" i="46" s="1"/>
  <c r="T80" i="46" l="1"/>
  <c r="I1" i="46"/>
  <c r="I93" i="46"/>
  <c r="L85" i="46"/>
  <c r="L80" i="46" s="1"/>
  <c r="K80" i="46"/>
  <c r="J80" i="46"/>
  <c r="J93" i="46" l="1"/>
  <c r="Q80" i="46"/>
  <c r="J1" i="46"/>
  <c r="L1" i="46"/>
  <c r="L93" i="46"/>
  <c r="L104" i="46" s="1"/>
  <c r="K1" i="46"/>
  <c r="K93" i="46"/>
  <c r="K104" i="46" s="1"/>
  <c r="I104" i="46"/>
  <c r="T93" i="46"/>
  <c r="I107" i="46" l="1"/>
  <c r="I106" i="46"/>
  <c r="T104" i="46"/>
  <c r="I105" i="46"/>
  <c r="K107" i="46"/>
  <c r="K106" i="46"/>
  <c r="L105" i="46"/>
  <c r="L107" i="46"/>
  <c r="L106" i="46"/>
  <c r="J104" i="46"/>
  <c r="Q93" i="46"/>
  <c r="J105" i="46" l="1"/>
  <c r="J107" i="46"/>
  <c r="J106" i="46"/>
  <c r="K105" i="46"/>
  <c r="M21" i="2" l="1"/>
  <c r="J21" i="2"/>
  <c r="K128" i="45" l="1"/>
  <c r="K130" i="45" s="1"/>
  <c r="J128" i="45"/>
  <c r="J130" i="45" s="1"/>
  <c r="I128" i="45"/>
  <c r="I130" i="45" s="1"/>
  <c r="H128" i="45"/>
  <c r="G128" i="45"/>
  <c r="M106" i="45"/>
  <c r="H106" i="45"/>
  <c r="F101" i="45"/>
  <c r="M98" i="45"/>
  <c r="F98" i="45"/>
  <c r="O94" i="45"/>
  <c r="N94" i="45"/>
  <c r="L94" i="45"/>
  <c r="K94" i="45"/>
  <c r="J94" i="45"/>
  <c r="I94" i="45"/>
  <c r="H94" i="45"/>
  <c r="G94" i="45"/>
  <c r="E94" i="45"/>
  <c r="D94" i="45"/>
  <c r="M92" i="45"/>
  <c r="I90" i="45"/>
  <c r="Q90" i="45" s="1"/>
  <c r="E90" i="45"/>
  <c r="G90" i="45" s="1"/>
  <c r="L89" i="45"/>
  <c r="G89" i="45"/>
  <c r="E89" i="45"/>
  <c r="D89" i="45"/>
  <c r="D88" i="45"/>
  <c r="M87" i="45"/>
  <c r="P87" i="45" s="1"/>
  <c r="F85" i="45"/>
  <c r="F86" i="45" s="1"/>
  <c r="D85" i="45"/>
  <c r="D86" i="45" s="1"/>
  <c r="Q84" i="45"/>
  <c r="P84" i="45"/>
  <c r="N84" i="45"/>
  <c r="Q83" i="45"/>
  <c r="P83" i="45"/>
  <c r="N83" i="45"/>
  <c r="J81" i="45"/>
  <c r="N81" i="45" s="1"/>
  <c r="I81" i="45"/>
  <c r="N80" i="45"/>
  <c r="D80" i="45"/>
  <c r="N79" i="45"/>
  <c r="D79" i="45"/>
  <c r="J78" i="45"/>
  <c r="N78" i="45" s="1"/>
  <c r="I78" i="45"/>
  <c r="H78" i="45"/>
  <c r="G78" i="45"/>
  <c r="E78" i="45"/>
  <c r="M77" i="45"/>
  <c r="P77" i="45" s="1"/>
  <c r="L77" i="45"/>
  <c r="K77" i="45"/>
  <c r="J77" i="45"/>
  <c r="N77" i="45" s="1"/>
  <c r="I77" i="45"/>
  <c r="H77" i="45"/>
  <c r="G77" i="45"/>
  <c r="F77" i="45"/>
  <c r="E77" i="45"/>
  <c r="M76" i="45"/>
  <c r="P76" i="45" s="1"/>
  <c r="L76" i="45"/>
  <c r="K76" i="45"/>
  <c r="J76" i="45"/>
  <c r="N76" i="45" s="1"/>
  <c r="I76" i="45"/>
  <c r="H76" i="45"/>
  <c r="G76" i="45"/>
  <c r="F76" i="45"/>
  <c r="E76" i="45"/>
  <c r="M75" i="45"/>
  <c r="P75" i="45" s="1"/>
  <c r="L75" i="45"/>
  <c r="K75" i="45"/>
  <c r="J75" i="45"/>
  <c r="N75" i="45" s="1"/>
  <c r="I75" i="45"/>
  <c r="H75" i="45"/>
  <c r="G75" i="45"/>
  <c r="F75" i="45"/>
  <c r="E75" i="45"/>
  <c r="L74" i="45"/>
  <c r="K74" i="45"/>
  <c r="J74" i="45"/>
  <c r="N74" i="45" s="1"/>
  <c r="I74" i="45"/>
  <c r="H74" i="45"/>
  <c r="G74" i="45"/>
  <c r="E74" i="45"/>
  <c r="M73" i="45"/>
  <c r="P73" i="45" s="1"/>
  <c r="L73" i="45"/>
  <c r="K73" i="45"/>
  <c r="J73" i="45"/>
  <c r="N73" i="45" s="1"/>
  <c r="I73" i="45"/>
  <c r="H73" i="45"/>
  <c r="G73" i="45"/>
  <c r="F73" i="45"/>
  <c r="E73" i="45"/>
  <c r="M72" i="45"/>
  <c r="P72" i="45" s="1"/>
  <c r="L72" i="45"/>
  <c r="K72" i="45"/>
  <c r="J72" i="45"/>
  <c r="N72" i="45" s="1"/>
  <c r="I72" i="45"/>
  <c r="H72" i="45"/>
  <c r="G72" i="45"/>
  <c r="F72" i="45"/>
  <c r="E72" i="45"/>
  <c r="D72" i="45"/>
  <c r="Q71" i="45"/>
  <c r="N71" i="45"/>
  <c r="E71" i="45"/>
  <c r="P71" i="45" s="1"/>
  <c r="D71" i="45"/>
  <c r="Q70" i="45"/>
  <c r="N70" i="45"/>
  <c r="E70" i="45"/>
  <c r="P70" i="45" s="1"/>
  <c r="D70" i="45"/>
  <c r="Q69" i="45"/>
  <c r="N69" i="45"/>
  <c r="E69" i="45"/>
  <c r="P69" i="45" s="1"/>
  <c r="D69" i="45"/>
  <c r="Q68" i="45"/>
  <c r="N68" i="45"/>
  <c r="E68" i="45"/>
  <c r="P68" i="45" s="1"/>
  <c r="L67" i="45"/>
  <c r="K67" i="45"/>
  <c r="J67" i="45"/>
  <c r="N67" i="45" s="1"/>
  <c r="I67" i="45"/>
  <c r="Q67" i="45" s="1"/>
  <c r="H67" i="45"/>
  <c r="G67" i="45"/>
  <c r="F67" i="45"/>
  <c r="E67" i="45"/>
  <c r="P67" i="45" s="1"/>
  <c r="M66" i="45"/>
  <c r="Q66" i="45" s="1"/>
  <c r="L66" i="45"/>
  <c r="K66" i="45"/>
  <c r="J66" i="45"/>
  <c r="N66" i="45" s="1"/>
  <c r="I66" i="45"/>
  <c r="H66" i="45"/>
  <c r="G66" i="45"/>
  <c r="F66" i="45"/>
  <c r="E66" i="45"/>
  <c r="O65" i="45"/>
  <c r="M65" i="45"/>
  <c r="L65" i="45"/>
  <c r="K65" i="45"/>
  <c r="J65" i="45"/>
  <c r="N65" i="45" s="1"/>
  <c r="I65" i="45"/>
  <c r="H65" i="45"/>
  <c r="G65" i="45"/>
  <c r="F65" i="45"/>
  <c r="E65" i="45"/>
  <c r="D65" i="45"/>
  <c r="Q64" i="45"/>
  <c r="M64" i="45"/>
  <c r="P64" i="45" s="1"/>
  <c r="L64" i="45"/>
  <c r="K64" i="45"/>
  <c r="J64" i="45"/>
  <c r="N64" i="45" s="1"/>
  <c r="I64" i="45"/>
  <c r="H64" i="45"/>
  <c r="G64" i="45"/>
  <c r="F64" i="45"/>
  <c r="E64" i="45"/>
  <c r="Q63" i="45"/>
  <c r="M63" i="45"/>
  <c r="P63" i="45" s="1"/>
  <c r="L63" i="45"/>
  <c r="K63" i="45"/>
  <c r="J63" i="45"/>
  <c r="N63" i="45" s="1"/>
  <c r="I63" i="45"/>
  <c r="H63" i="45"/>
  <c r="G63" i="45"/>
  <c r="F63" i="45"/>
  <c r="E63" i="45"/>
  <c r="D63" i="45"/>
  <c r="L62" i="45"/>
  <c r="K62" i="45"/>
  <c r="J62" i="45"/>
  <c r="I62" i="45"/>
  <c r="H62" i="45"/>
  <c r="M61" i="45"/>
  <c r="Q61" i="45" s="1"/>
  <c r="L61" i="45"/>
  <c r="K61" i="45"/>
  <c r="J61" i="45"/>
  <c r="N61" i="45" s="1"/>
  <c r="I61" i="45"/>
  <c r="H61" i="45"/>
  <c r="N60" i="45"/>
  <c r="M60" i="45"/>
  <c r="N59" i="45"/>
  <c r="M59" i="45"/>
  <c r="N58" i="45"/>
  <c r="M58" i="45"/>
  <c r="M57" i="45"/>
  <c r="M55" i="45" s="1"/>
  <c r="L57" i="45"/>
  <c r="K57" i="45"/>
  <c r="K55" i="45" s="1"/>
  <c r="J57" i="45"/>
  <c r="N57" i="45" s="1"/>
  <c r="I57" i="45"/>
  <c r="I55" i="45" s="1"/>
  <c r="H57" i="45"/>
  <c r="Q56" i="45"/>
  <c r="L56" i="45"/>
  <c r="K56" i="45"/>
  <c r="J56" i="45"/>
  <c r="N56" i="45" s="1"/>
  <c r="I56" i="45"/>
  <c r="H56" i="45"/>
  <c r="O55" i="45"/>
  <c r="L55" i="45"/>
  <c r="J55" i="45"/>
  <c r="N55" i="45" s="1"/>
  <c r="H55" i="45"/>
  <c r="G55" i="45"/>
  <c r="F55" i="45"/>
  <c r="E55" i="45"/>
  <c r="D55" i="45"/>
  <c r="M54" i="45"/>
  <c r="Q54" i="45" s="1"/>
  <c r="L54" i="45"/>
  <c r="K54" i="45"/>
  <c r="J54" i="45"/>
  <c r="N54" i="45" s="1"/>
  <c r="I54" i="45"/>
  <c r="H54" i="45"/>
  <c r="Q53" i="45"/>
  <c r="M53" i="45"/>
  <c r="P53" i="45" s="1"/>
  <c r="L53" i="45"/>
  <c r="K53" i="45"/>
  <c r="J53" i="45"/>
  <c r="N53" i="45" s="1"/>
  <c r="I53" i="45"/>
  <c r="H53" i="45"/>
  <c r="M52" i="45"/>
  <c r="Q52" i="45" s="1"/>
  <c r="L52" i="45"/>
  <c r="K52" i="45"/>
  <c r="J52" i="45"/>
  <c r="N52" i="45" s="1"/>
  <c r="I52" i="45"/>
  <c r="H52" i="45"/>
  <c r="M51" i="45"/>
  <c r="Q51" i="45" s="1"/>
  <c r="L51" i="45"/>
  <c r="K51" i="45"/>
  <c r="J51" i="45"/>
  <c r="N51" i="45" s="1"/>
  <c r="I51" i="45"/>
  <c r="H51" i="45"/>
  <c r="M50" i="45"/>
  <c r="P50" i="45" s="1"/>
  <c r="M49" i="45"/>
  <c r="Q49" i="45" s="1"/>
  <c r="L49" i="45"/>
  <c r="L50" i="45" s="1"/>
  <c r="L48" i="45" s="1"/>
  <c r="L38" i="45" s="1"/>
  <c r="K49" i="45"/>
  <c r="K50" i="45" s="1"/>
  <c r="K48" i="45" s="1"/>
  <c r="K38" i="45" s="1"/>
  <c r="J49" i="45"/>
  <c r="N49" i="45" s="1"/>
  <c r="I49" i="45"/>
  <c r="I50" i="45" s="1"/>
  <c r="H49" i="45"/>
  <c r="H50" i="45" s="1"/>
  <c r="H48" i="45" s="1"/>
  <c r="H38" i="45" s="1"/>
  <c r="O48" i="45"/>
  <c r="M48" i="45"/>
  <c r="P48" i="45" s="1"/>
  <c r="G48" i="45"/>
  <c r="F48" i="45"/>
  <c r="E48" i="45"/>
  <c r="D48" i="45"/>
  <c r="M47" i="45"/>
  <c r="N47" i="45" s="1"/>
  <c r="M46" i="45"/>
  <c r="P46" i="45" s="1"/>
  <c r="J46" i="45"/>
  <c r="N46" i="45" s="1"/>
  <c r="I46" i="45"/>
  <c r="H46" i="45"/>
  <c r="E46" i="45"/>
  <c r="D46" i="45"/>
  <c r="M45" i="45"/>
  <c r="P45" i="45" s="1"/>
  <c r="L45" i="45"/>
  <c r="K45" i="45"/>
  <c r="J45" i="45"/>
  <c r="N45" i="45" s="1"/>
  <c r="I45" i="45"/>
  <c r="H45" i="45"/>
  <c r="M44" i="45"/>
  <c r="P44" i="45" s="1"/>
  <c r="L44" i="45"/>
  <c r="K44" i="45"/>
  <c r="J44" i="45"/>
  <c r="N44" i="45" s="1"/>
  <c r="I44" i="45"/>
  <c r="H44" i="45"/>
  <c r="E44" i="45"/>
  <c r="M43" i="45"/>
  <c r="P43" i="45" s="1"/>
  <c r="L43" i="45"/>
  <c r="K43" i="45"/>
  <c r="J43" i="45"/>
  <c r="N43" i="45" s="1"/>
  <c r="I43" i="45"/>
  <c r="H43" i="45"/>
  <c r="M42" i="45"/>
  <c r="P42" i="45" s="1"/>
  <c r="L42" i="45"/>
  <c r="K42" i="45"/>
  <c r="J42" i="45"/>
  <c r="N42" i="45" s="1"/>
  <c r="I42" i="45"/>
  <c r="H42" i="45"/>
  <c r="M41" i="45"/>
  <c r="P41" i="45" s="1"/>
  <c r="L41" i="45"/>
  <c r="K41" i="45"/>
  <c r="J41" i="45"/>
  <c r="N41" i="45" s="1"/>
  <c r="I41" i="45"/>
  <c r="H41" i="45"/>
  <c r="M40" i="45"/>
  <c r="P40" i="45" s="1"/>
  <c r="L40" i="45"/>
  <c r="K40" i="45"/>
  <c r="J40" i="45"/>
  <c r="N40" i="45" s="1"/>
  <c r="I40" i="45"/>
  <c r="H40" i="45"/>
  <c r="O39" i="45"/>
  <c r="M39" i="45"/>
  <c r="P39" i="45" s="1"/>
  <c r="L39" i="45"/>
  <c r="K39" i="45"/>
  <c r="J39" i="45"/>
  <c r="N39" i="45" s="1"/>
  <c r="I39" i="45"/>
  <c r="H39" i="45"/>
  <c r="G39" i="45"/>
  <c r="F39" i="45"/>
  <c r="E39" i="45"/>
  <c r="D39" i="45"/>
  <c r="G38" i="45"/>
  <c r="F38" i="45"/>
  <c r="E38" i="45"/>
  <c r="D38" i="45"/>
  <c r="O37" i="45"/>
  <c r="M37" i="45"/>
  <c r="Q37" i="45" s="1"/>
  <c r="L37" i="45"/>
  <c r="K37" i="45"/>
  <c r="J37" i="45"/>
  <c r="N37" i="45" s="1"/>
  <c r="I37" i="45"/>
  <c r="H37" i="45"/>
  <c r="G37" i="45"/>
  <c r="F37" i="45"/>
  <c r="E37" i="45"/>
  <c r="O36" i="45"/>
  <c r="M36" i="45"/>
  <c r="Q36" i="45" s="1"/>
  <c r="L36" i="45"/>
  <c r="K36" i="45"/>
  <c r="J36" i="45"/>
  <c r="N36" i="45" s="1"/>
  <c r="I36" i="45"/>
  <c r="H36" i="45"/>
  <c r="G36" i="45"/>
  <c r="F36" i="45"/>
  <c r="E36" i="45"/>
  <c r="O35" i="45"/>
  <c r="M35" i="45"/>
  <c r="Q35" i="45" s="1"/>
  <c r="L35" i="45"/>
  <c r="K35" i="45"/>
  <c r="J35" i="45"/>
  <c r="N35" i="45" s="1"/>
  <c r="I35" i="45"/>
  <c r="H35" i="45"/>
  <c r="G35" i="45"/>
  <c r="F35" i="45"/>
  <c r="E35" i="45"/>
  <c r="M34" i="45"/>
  <c r="Q34" i="45" s="1"/>
  <c r="L34" i="45"/>
  <c r="K34" i="45"/>
  <c r="J34" i="45"/>
  <c r="N34" i="45" s="1"/>
  <c r="I34" i="45"/>
  <c r="H34" i="45"/>
  <c r="G34" i="45"/>
  <c r="E34" i="45"/>
  <c r="D34" i="45"/>
  <c r="M33" i="45"/>
  <c r="Q33" i="45" s="1"/>
  <c r="L33" i="45"/>
  <c r="K33" i="45"/>
  <c r="J33" i="45"/>
  <c r="N33" i="45" s="1"/>
  <c r="I33" i="45"/>
  <c r="H33" i="45"/>
  <c r="G33" i="45"/>
  <c r="F33" i="45"/>
  <c r="E33" i="45"/>
  <c r="D33" i="45"/>
  <c r="M32" i="45"/>
  <c r="P32" i="45" s="1"/>
  <c r="L32" i="45"/>
  <c r="K32" i="45"/>
  <c r="J32" i="45"/>
  <c r="N32" i="45" s="1"/>
  <c r="I32" i="45"/>
  <c r="H32" i="45"/>
  <c r="G32" i="45"/>
  <c r="F32" i="45"/>
  <c r="E32" i="45"/>
  <c r="M31" i="45"/>
  <c r="L31" i="45"/>
  <c r="K31" i="45"/>
  <c r="J31" i="45"/>
  <c r="I31" i="45"/>
  <c r="H31" i="45"/>
  <c r="G31" i="45"/>
  <c r="E31" i="45"/>
  <c r="D31" i="45"/>
  <c r="M30" i="45"/>
  <c r="P30" i="45" s="1"/>
  <c r="L30" i="45"/>
  <c r="K30" i="45"/>
  <c r="J30" i="45"/>
  <c r="N30" i="45" s="1"/>
  <c r="I30" i="45"/>
  <c r="H30" i="45"/>
  <c r="G30" i="45"/>
  <c r="F30" i="45"/>
  <c r="E30" i="45"/>
  <c r="L29" i="45"/>
  <c r="K29" i="45"/>
  <c r="J29" i="45"/>
  <c r="I29" i="45"/>
  <c r="H29" i="45"/>
  <c r="G29" i="45"/>
  <c r="E29" i="45"/>
  <c r="M28" i="45"/>
  <c r="L28" i="45"/>
  <c r="K28" i="45"/>
  <c r="J28" i="45"/>
  <c r="N28" i="45" s="1"/>
  <c r="I28" i="45"/>
  <c r="H28" i="45"/>
  <c r="G28" i="45"/>
  <c r="E28" i="45"/>
  <c r="D28" i="45"/>
  <c r="M27" i="45"/>
  <c r="Q27" i="45" s="1"/>
  <c r="L27" i="45"/>
  <c r="K27" i="45"/>
  <c r="J27" i="45"/>
  <c r="N27" i="45" s="1"/>
  <c r="I27" i="45"/>
  <c r="H27" i="45"/>
  <c r="G27" i="45"/>
  <c r="F27" i="45"/>
  <c r="E27" i="45"/>
  <c r="D27" i="45"/>
  <c r="M26" i="45"/>
  <c r="P26" i="45" s="1"/>
  <c r="L26" i="45"/>
  <c r="K26" i="45"/>
  <c r="J26" i="45"/>
  <c r="N26" i="45" s="1"/>
  <c r="I26" i="45"/>
  <c r="H26" i="45"/>
  <c r="M25" i="45"/>
  <c r="Q25" i="45" s="1"/>
  <c r="L25" i="45"/>
  <c r="K25" i="45"/>
  <c r="J25" i="45"/>
  <c r="N25" i="45" s="1"/>
  <c r="I25" i="45"/>
  <c r="H25" i="45"/>
  <c r="G25" i="45"/>
  <c r="F25" i="45"/>
  <c r="E25" i="45"/>
  <c r="D25" i="45"/>
  <c r="O24" i="45"/>
  <c r="M24" i="45"/>
  <c r="P24" i="45" s="1"/>
  <c r="L24" i="45"/>
  <c r="K24" i="45"/>
  <c r="J24" i="45"/>
  <c r="N24" i="45" s="1"/>
  <c r="I24" i="45"/>
  <c r="H24" i="45"/>
  <c r="G24" i="45"/>
  <c r="F24" i="45"/>
  <c r="E24" i="45"/>
  <c r="D24" i="45"/>
  <c r="D37" i="45" s="1"/>
  <c r="O23" i="45"/>
  <c r="M23" i="45"/>
  <c r="P23" i="45" s="1"/>
  <c r="L23" i="45"/>
  <c r="K23" i="45"/>
  <c r="J23" i="45"/>
  <c r="N23" i="45" s="1"/>
  <c r="I23" i="45"/>
  <c r="H23" i="45"/>
  <c r="G23" i="45"/>
  <c r="F23" i="45"/>
  <c r="E23" i="45"/>
  <c r="D23" i="45"/>
  <c r="D36" i="45" s="1"/>
  <c r="D35" i="45" s="1"/>
  <c r="D32" i="45" s="1"/>
  <c r="O22" i="45"/>
  <c r="M22" i="45"/>
  <c r="P22" i="45" s="1"/>
  <c r="L22" i="45"/>
  <c r="K22" i="45"/>
  <c r="J22" i="45"/>
  <c r="N22" i="45" s="1"/>
  <c r="I22" i="45"/>
  <c r="H22" i="45"/>
  <c r="G22" i="45"/>
  <c r="F22" i="45"/>
  <c r="E22" i="45"/>
  <c r="D22" i="45"/>
  <c r="M21" i="45"/>
  <c r="N21" i="45" s="1"/>
  <c r="L21" i="45"/>
  <c r="K21" i="45"/>
  <c r="I21" i="45"/>
  <c r="H21" i="45"/>
  <c r="G21" i="45"/>
  <c r="F21" i="45"/>
  <c r="E21" i="45"/>
  <c r="D21" i="45"/>
  <c r="M20" i="45"/>
  <c r="P20" i="45" s="1"/>
  <c r="L20" i="45"/>
  <c r="K20" i="45"/>
  <c r="J20" i="45"/>
  <c r="N20" i="45" s="1"/>
  <c r="I20" i="45"/>
  <c r="H20" i="45"/>
  <c r="G20" i="45"/>
  <c r="F20" i="45"/>
  <c r="E20" i="45"/>
  <c r="D20" i="45"/>
  <c r="M19" i="45"/>
  <c r="Q19" i="45" s="1"/>
  <c r="L19" i="45"/>
  <c r="K19" i="45"/>
  <c r="J19" i="45"/>
  <c r="N19" i="45" s="1"/>
  <c r="I19" i="45"/>
  <c r="H19" i="45"/>
  <c r="G19" i="45"/>
  <c r="F19" i="45"/>
  <c r="E19" i="45"/>
  <c r="L18" i="45"/>
  <c r="K18" i="45"/>
  <c r="J18" i="45"/>
  <c r="N18" i="45" s="1"/>
  <c r="I18" i="45"/>
  <c r="H18" i="45"/>
  <c r="G18" i="45"/>
  <c r="E18" i="45"/>
  <c r="M17" i="45"/>
  <c r="Q17" i="45" s="1"/>
  <c r="L17" i="45"/>
  <c r="K17" i="45"/>
  <c r="J17" i="45"/>
  <c r="N17" i="45" s="1"/>
  <c r="I17" i="45"/>
  <c r="H17" i="45"/>
  <c r="G17" i="45"/>
  <c r="F17" i="45"/>
  <c r="E17" i="45"/>
  <c r="M16" i="45"/>
  <c r="Q16" i="45" s="1"/>
  <c r="L16" i="45"/>
  <c r="K16" i="45"/>
  <c r="J16" i="45"/>
  <c r="N16" i="45" s="1"/>
  <c r="I16" i="45"/>
  <c r="H16" i="45"/>
  <c r="G16" i="45"/>
  <c r="F16" i="45"/>
  <c r="E16" i="45"/>
  <c r="D16" i="45"/>
  <c r="M15" i="45"/>
  <c r="P15" i="45" s="1"/>
  <c r="L15" i="45"/>
  <c r="K15" i="45"/>
  <c r="J15" i="45"/>
  <c r="N15" i="45" s="1"/>
  <c r="I15" i="45"/>
  <c r="H15" i="45"/>
  <c r="G15" i="45"/>
  <c r="F15" i="45"/>
  <c r="E15" i="45"/>
  <c r="D15" i="45"/>
  <c r="M14" i="45"/>
  <c r="Q14" i="45" s="1"/>
  <c r="L14" i="45"/>
  <c r="K14" i="45"/>
  <c r="J14" i="45"/>
  <c r="N14" i="45" s="1"/>
  <c r="I14" i="45"/>
  <c r="H14" i="45"/>
  <c r="G14" i="45"/>
  <c r="F14" i="45"/>
  <c r="E14" i="45"/>
  <c r="D14" i="45"/>
  <c r="M13" i="45"/>
  <c r="P13" i="45" s="1"/>
  <c r="L13" i="45"/>
  <c r="K13" i="45"/>
  <c r="J13" i="45"/>
  <c r="N13" i="45" s="1"/>
  <c r="I13" i="45"/>
  <c r="H13" i="45"/>
  <c r="G13" i="45"/>
  <c r="F13" i="45"/>
  <c r="E13" i="45"/>
  <c r="M12" i="45"/>
  <c r="P12" i="45" s="1"/>
  <c r="L12" i="45"/>
  <c r="K12" i="45"/>
  <c r="J12" i="45"/>
  <c r="N12" i="45" s="1"/>
  <c r="I12" i="45"/>
  <c r="H12" i="45"/>
  <c r="G12" i="45"/>
  <c r="F12" i="45"/>
  <c r="E12" i="45"/>
  <c r="M11" i="45"/>
  <c r="P11" i="45" s="1"/>
  <c r="L11" i="45"/>
  <c r="K11" i="45"/>
  <c r="J11" i="45"/>
  <c r="N11" i="45" s="1"/>
  <c r="N10" i="45" s="1"/>
  <c r="I11" i="45"/>
  <c r="H11" i="45"/>
  <c r="G11" i="45"/>
  <c r="F11" i="45"/>
  <c r="E11" i="45"/>
  <c r="D11" i="45"/>
  <c r="M10" i="45"/>
  <c r="L10" i="45"/>
  <c r="K10" i="45"/>
  <c r="J10" i="45"/>
  <c r="I10" i="45"/>
  <c r="H10" i="45"/>
  <c r="G10" i="45"/>
  <c r="G82" i="45" s="1"/>
  <c r="F10" i="45"/>
  <c r="F82" i="45" s="1"/>
  <c r="E10" i="45"/>
  <c r="E82" i="45" s="1"/>
  <c r="D10" i="45"/>
  <c r="Q50" i="45" l="1"/>
  <c r="I48" i="45"/>
  <c r="I38" i="45" s="1"/>
  <c r="Q55" i="45"/>
  <c r="M38" i="45"/>
  <c r="P55" i="45"/>
  <c r="E111" i="45"/>
  <c r="E92" i="45"/>
  <c r="G92" i="45"/>
  <c r="G111" i="45"/>
  <c r="I82" i="45"/>
  <c r="M82" i="45"/>
  <c r="P10" i="45"/>
  <c r="Q11" i="45"/>
  <c r="Q12" i="45"/>
  <c r="Q13" i="45"/>
  <c r="P14" i="45"/>
  <c r="Q15" i="45"/>
  <c r="P16" i="45"/>
  <c r="P17" i="45"/>
  <c r="P19" i="45"/>
  <c r="Q20" i="45"/>
  <c r="Q22" i="45"/>
  <c r="Q23" i="45"/>
  <c r="Q24" i="45"/>
  <c r="P25" i="45"/>
  <c r="Q26" i="45"/>
  <c r="P27" i="45"/>
  <c r="Q30" i="45"/>
  <c r="Q32" i="45"/>
  <c r="P33" i="45"/>
  <c r="P34" i="45"/>
  <c r="P35" i="45"/>
  <c r="P36" i="45"/>
  <c r="P37" i="45"/>
  <c r="Q48" i="45"/>
  <c r="P49" i="45"/>
  <c r="J50" i="45"/>
  <c r="P52" i="45"/>
  <c r="P54" i="45"/>
  <c r="Q57" i="45"/>
  <c r="Q65" i="45"/>
  <c r="P65" i="45"/>
  <c r="D82" i="45"/>
  <c r="F111" i="45"/>
  <c r="F93" i="45"/>
  <c r="F105" i="45" s="1"/>
  <c r="F107" i="45" s="1"/>
  <c r="H82" i="45"/>
  <c r="Q10" i="45"/>
  <c r="J90" i="45"/>
  <c r="G85" i="45"/>
  <c r="G86" i="45" s="1"/>
  <c r="P66" i="45"/>
  <c r="Q72" i="45"/>
  <c r="Q73" i="45"/>
  <c r="Q75" i="45"/>
  <c r="Q76" i="45"/>
  <c r="Q77" i="45"/>
  <c r="N87" i="45"/>
  <c r="Q87" i="45"/>
  <c r="P90" i="45"/>
  <c r="N116" i="45"/>
  <c r="K81" i="45"/>
  <c r="L81" i="45" s="1"/>
  <c r="L82" i="45" s="1"/>
  <c r="N106" i="45"/>
  <c r="O29" i="34"/>
  <c r="S414" i="3"/>
  <c r="S412" i="3" s="1"/>
  <c r="R414" i="3"/>
  <c r="L111" i="45" l="1"/>
  <c r="L92" i="45"/>
  <c r="K90" i="45"/>
  <c r="H92" i="45"/>
  <c r="H85" i="45" s="1"/>
  <c r="H93" i="45" s="1"/>
  <c r="H105" i="45" s="1"/>
  <c r="H107" i="45" s="1"/>
  <c r="O116" i="45"/>
  <c r="P116" i="45" s="1"/>
  <c r="J48" i="45"/>
  <c r="N50" i="45"/>
  <c r="M93" i="45"/>
  <c r="P82" i="45"/>
  <c r="Q82" i="45"/>
  <c r="I92" i="45"/>
  <c r="P92" i="45"/>
  <c r="E85" i="45"/>
  <c r="P38" i="45"/>
  <c r="Q38" i="45"/>
  <c r="D111" i="45"/>
  <c r="D93" i="45"/>
  <c r="D105" i="45" s="1"/>
  <c r="D107" i="45" s="1"/>
  <c r="K82" i="45"/>
  <c r="G93" i="45"/>
  <c r="G105" i="45" s="1"/>
  <c r="G107" i="45" s="1"/>
  <c r="M99" i="2"/>
  <c r="M85" i="2"/>
  <c r="P20" i="35"/>
  <c r="Q20" i="35"/>
  <c r="O20" i="35"/>
  <c r="R309" i="3"/>
  <c r="Q309" i="3"/>
  <c r="N24" i="34"/>
  <c r="O24" i="34"/>
  <c r="M24" i="34"/>
  <c r="R497" i="3"/>
  <c r="Q497" i="3"/>
  <c r="Q296" i="3"/>
  <c r="D498" i="3"/>
  <c r="E498" i="3"/>
  <c r="F498" i="3"/>
  <c r="G498" i="3"/>
  <c r="L498" i="3"/>
  <c r="Q498" i="3"/>
  <c r="R498" i="3"/>
  <c r="S498" i="3"/>
  <c r="T498" i="3"/>
  <c r="H115" i="45" l="1"/>
  <c r="H108" i="45"/>
  <c r="H109" i="45"/>
  <c r="K92" i="45"/>
  <c r="K111" i="45"/>
  <c r="G109" i="45"/>
  <c r="G115" i="45"/>
  <c r="G108" i="45"/>
  <c r="P85" i="45"/>
  <c r="E86" i="45"/>
  <c r="P86" i="45" s="1"/>
  <c r="E93" i="45"/>
  <c r="E105" i="45" s="1"/>
  <c r="E107" i="45" s="1"/>
  <c r="I85" i="45"/>
  <c r="Q92" i="45"/>
  <c r="M105" i="45"/>
  <c r="P93" i="45"/>
  <c r="N48" i="45"/>
  <c r="J38" i="45"/>
  <c r="H86" i="45"/>
  <c r="H2" i="45"/>
  <c r="L90" i="45"/>
  <c r="L85" i="45" s="1"/>
  <c r="K85" i="45"/>
  <c r="S413" i="3"/>
  <c r="M321" i="4"/>
  <c r="AE22" i="29"/>
  <c r="K86" i="45" l="1"/>
  <c r="K2" i="45"/>
  <c r="N38" i="45"/>
  <c r="J82" i="45"/>
  <c r="M107" i="45"/>
  <c r="P105" i="45"/>
  <c r="O118" i="45"/>
  <c r="I86" i="45"/>
  <c r="Q86" i="45" s="1"/>
  <c r="Q85" i="45"/>
  <c r="I2" i="45"/>
  <c r="I93" i="45"/>
  <c r="K105" i="45"/>
  <c r="K107" i="45" s="1"/>
  <c r="L86" i="45"/>
  <c r="L2" i="45"/>
  <c r="L93" i="45"/>
  <c r="L105" i="45"/>
  <c r="L107" i="45" s="1"/>
  <c r="K93" i="45"/>
  <c r="N387" i="4"/>
  <c r="O384" i="4"/>
  <c r="N384" i="4"/>
  <c r="O385" i="4"/>
  <c r="N385" i="4"/>
  <c r="I105" i="45" l="1"/>
  <c r="Q93" i="45"/>
  <c r="J111" i="45"/>
  <c r="J92" i="45"/>
  <c r="J85" i="45" s="1"/>
  <c r="J93" i="45" s="1"/>
  <c r="J105" i="45" s="1"/>
  <c r="N82" i="45"/>
  <c r="L115" i="45"/>
  <c r="L108" i="45"/>
  <c r="L109" i="45"/>
  <c r="K109" i="45"/>
  <c r="K115" i="45"/>
  <c r="P118" i="45"/>
  <c r="P117" i="45" s="1"/>
  <c r="P108" i="45" s="1"/>
  <c r="O117" i="45"/>
  <c r="Q189" i="3"/>
  <c r="M12" i="43"/>
  <c r="N12" i="43"/>
  <c r="L19" i="43"/>
  <c r="L35" i="43"/>
  <c r="L12" i="43"/>
  <c r="J107" i="45" l="1"/>
  <c r="N105" i="45"/>
  <c r="Q117" i="45"/>
  <c r="P107" i="45"/>
  <c r="J86" i="45"/>
  <c r="N86" i="45" s="1"/>
  <c r="N85" i="45"/>
  <c r="N93" i="45" s="1"/>
  <c r="J2" i="45"/>
  <c r="I107" i="45"/>
  <c r="Q105" i="45"/>
  <c r="O17" i="33"/>
  <c r="M474" i="4"/>
  <c r="E308" i="4"/>
  <c r="M436" i="4"/>
  <c r="M430" i="4"/>
  <c r="M47" i="4"/>
  <c r="J92" i="8"/>
  <c r="J91" i="8"/>
  <c r="O22" i="35"/>
  <c r="O12" i="34"/>
  <c r="N12" i="34"/>
  <c r="S295" i="3"/>
  <c r="M36" i="2"/>
  <c r="O39" i="35"/>
  <c r="P32" i="35"/>
  <c r="Q32" i="35"/>
  <c r="O32" i="35"/>
  <c r="M39" i="35" s="1"/>
  <c r="M41" i="35" s="1"/>
  <c r="N14" i="34"/>
  <c r="O14" i="34"/>
  <c r="M14" i="34"/>
  <c r="M16" i="34"/>
  <c r="M15" i="34"/>
  <c r="N11" i="34"/>
  <c r="O11" i="34"/>
  <c r="M11" i="34"/>
  <c r="J397" i="4"/>
  <c r="I109" i="45" l="1"/>
  <c r="I115" i="45"/>
  <c r="I108" i="45"/>
  <c r="Q107" i="45"/>
  <c r="J115" i="45"/>
  <c r="J108" i="45"/>
  <c r="J109" i="45"/>
  <c r="K108" i="45"/>
  <c r="P39" i="35"/>
  <c r="N39" i="35"/>
  <c r="Q39" i="35"/>
  <c r="R39" i="35" s="1"/>
  <c r="M13" i="34"/>
  <c r="Q79" i="3"/>
  <c r="M40" i="43" l="1"/>
  <c r="N40" i="43"/>
  <c r="L40" i="43"/>
  <c r="N15" i="43"/>
  <c r="N17" i="43" s="1"/>
  <c r="N18" i="43" s="1"/>
  <c r="N30" i="43"/>
  <c r="N37" i="43" s="1"/>
  <c r="M30" i="43"/>
  <c r="L30" i="43"/>
  <c r="L37" i="43" s="1"/>
  <c r="M15" i="43"/>
  <c r="M17" i="43" s="1"/>
  <c r="M18" i="43" s="1"/>
  <c r="L15" i="43"/>
  <c r="L17" i="43" s="1"/>
  <c r="L18" i="43" s="1"/>
  <c r="N16" i="43"/>
  <c r="M16" i="43"/>
  <c r="N29" i="43"/>
  <c r="L29" i="43"/>
  <c r="L16" i="43"/>
  <c r="M78" i="2"/>
  <c r="M75" i="2"/>
  <c r="R417" i="3"/>
  <c r="S417" i="3"/>
  <c r="Q417" i="3"/>
  <c r="R416" i="3"/>
  <c r="S416" i="3"/>
  <c r="Q416" i="3"/>
  <c r="R415" i="3"/>
  <c r="S415" i="3"/>
  <c r="Q415" i="3"/>
  <c r="R412" i="3"/>
  <c r="R413" i="3"/>
  <c r="Q413" i="3"/>
  <c r="M63" i="2"/>
  <c r="M62" i="2"/>
  <c r="M61" i="2"/>
  <c r="M59" i="2"/>
  <c r="M58" i="2"/>
  <c r="M55" i="2"/>
  <c r="M54" i="2"/>
  <c r="M49" i="2"/>
  <c r="M48" i="2"/>
  <c r="M44" i="2"/>
  <c r="AB52" i="29"/>
  <c r="AA52" i="29"/>
  <c r="Z52" i="29"/>
  <c r="AB53" i="29"/>
  <c r="AB49" i="29"/>
  <c r="AB51" i="29"/>
  <c r="AB48" i="29"/>
  <c r="AB44" i="29"/>
  <c r="AB45" i="29"/>
  <c r="AB13" i="29"/>
  <c r="AB18" i="29"/>
  <c r="AB19" i="29"/>
  <c r="M31" i="2"/>
  <c r="M19" i="36" s="1"/>
  <c r="M14" i="36" s="1"/>
  <c r="M32" i="2"/>
  <c r="M20" i="36" s="1"/>
  <c r="Q320" i="3"/>
  <c r="N39" i="43" l="1"/>
  <c r="M29" i="43"/>
  <c r="M37" i="43"/>
  <c r="L39" i="43"/>
  <c r="Q72" i="3"/>
  <c r="Q360" i="3"/>
  <c r="M39" i="2" s="1"/>
  <c r="Q359" i="3"/>
  <c r="M38" i="2" s="1"/>
  <c r="M39" i="43" l="1"/>
  <c r="Q465" i="3"/>
  <c r="J265" i="8"/>
  <c r="M268" i="8"/>
  <c r="M265" i="8"/>
  <c r="M243" i="8"/>
  <c r="M242" i="8"/>
  <c r="M240" i="8"/>
  <c r="M239" i="8"/>
  <c r="M237" i="8"/>
  <c r="M236" i="8"/>
  <c r="M234" i="8"/>
  <c r="M233" i="8"/>
  <c r="M231" i="8"/>
  <c r="M230" i="8"/>
  <c r="M157" i="8"/>
  <c r="M156" i="8"/>
  <c r="M155" i="8" s="1"/>
  <c r="M191" i="8" s="1"/>
  <c r="M189" i="8"/>
  <c r="M186" i="8"/>
  <c r="M183" i="8"/>
  <c r="M180" i="8"/>
  <c r="M177" i="8"/>
  <c r="M174" i="8"/>
  <c r="M171" i="8"/>
  <c r="M168" i="8"/>
  <c r="M165" i="8"/>
  <c r="M162" i="8"/>
  <c r="M159" i="8"/>
  <c r="Q325" i="3"/>
  <c r="Q294" i="3"/>
  <c r="R290" i="3" l="1"/>
  <c r="S290" i="3"/>
  <c r="Q290" i="3"/>
  <c r="S277" i="3"/>
  <c r="R277" i="3"/>
  <c r="R279" i="3" s="1"/>
  <c r="S279" i="3"/>
  <c r="Q279" i="3"/>
  <c r="S266" i="3"/>
  <c r="R266" i="3"/>
  <c r="S270" i="3"/>
  <c r="R270" i="3"/>
  <c r="R271" i="3" s="1"/>
  <c r="S271" i="3"/>
  <c r="Q271" i="3"/>
  <c r="R265" i="3"/>
  <c r="S265" i="3"/>
  <c r="Q265" i="3"/>
  <c r="R236" i="3"/>
  <c r="R237" i="3" s="1"/>
  <c r="S236" i="3"/>
  <c r="Q236" i="3"/>
  <c r="Q237" i="3" s="1"/>
  <c r="R232" i="3"/>
  <c r="R233" i="3" s="1"/>
  <c r="S232" i="3"/>
  <c r="S233" i="3" s="1"/>
  <c r="Q232" i="3"/>
  <c r="Q233" i="3" s="1"/>
  <c r="S231" i="3"/>
  <c r="R231" i="3"/>
  <c r="Q231" i="3"/>
  <c r="R228" i="3"/>
  <c r="R229" i="3" s="1"/>
  <c r="S228" i="3"/>
  <c r="Q228" i="3"/>
  <c r="Q229" i="3" s="1"/>
  <c r="O213" i="4"/>
  <c r="N213" i="4"/>
  <c r="M213" i="4"/>
  <c r="Q191" i="3"/>
  <c r="R189" i="3"/>
  <c r="R191" i="3" s="1"/>
  <c r="M170" i="4"/>
  <c r="S187" i="3"/>
  <c r="R187" i="3"/>
  <c r="Q187" i="3"/>
  <c r="S101" i="3"/>
  <c r="R101" i="3"/>
  <c r="Q101" i="3"/>
  <c r="S99" i="3"/>
  <c r="R99" i="3"/>
  <c r="Q99" i="3"/>
  <c r="S98" i="3"/>
  <c r="R98" i="3"/>
  <c r="Q98" i="3"/>
  <c r="S83" i="3"/>
  <c r="R83" i="3"/>
  <c r="S81" i="3"/>
  <c r="R81" i="3"/>
  <c r="Q83" i="3"/>
  <c r="Q81" i="3"/>
  <c r="R80" i="3"/>
  <c r="R79" i="3" s="1"/>
  <c r="R72" i="3" s="1"/>
  <c r="S80" i="3"/>
  <c r="S79" i="3" s="1"/>
  <c r="S72" i="3" s="1"/>
  <c r="Q80" i="3"/>
  <c r="Q60" i="3"/>
  <c r="Q44" i="3"/>
  <c r="Q43" i="3"/>
  <c r="Q35" i="3"/>
  <c r="Q238" i="3" l="1"/>
  <c r="R238" i="3"/>
  <c r="N8" i="34" s="1"/>
  <c r="S189" i="3"/>
  <c r="S191" i="3" s="1"/>
  <c r="M8" i="34"/>
  <c r="M6" i="34" s="1"/>
  <c r="M470" i="4"/>
  <c r="N19" i="30"/>
  <c r="O19" i="30"/>
  <c r="M19" i="30"/>
  <c r="O16" i="33"/>
  <c r="P12" i="33"/>
  <c r="Q12" i="33"/>
  <c r="O12" i="33"/>
  <c r="N29" i="30" l="1"/>
  <c r="N28" i="30" s="1"/>
  <c r="O29" i="30"/>
  <c r="O28" i="30" s="1"/>
  <c r="M29" i="30"/>
  <c r="M28" i="30" s="1"/>
  <c r="N35" i="30"/>
  <c r="P15" i="33" s="1"/>
  <c r="O35" i="30"/>
  <c r="Q15" i="33" s="1"/>
  <c r="M35" i="30"/>
  <c r="O15" i="33" s="1"/>
  <c r="N24" i="30"/>
  <c r="O24" i="30"/>
  <c r="M24" i="30"/>
  <c r="N23" i="30"/>
  <c r="O23" i="30"/>
  <c r="M23" i="30"/>
  <c r="N22" i="30"/>
  <c r="O22" i="30"/>
  <c r="M22" i="30"/>
  <c r="N21" i="30"/>
  <c r="O21" i="30"/>
  <c r="M21" i="30"/>
  <c r="N20" i="30"/>
  <c r="O20" i="30"/>
  <c r="M20" i="30"/>
  <c r="N10" i="30"/>
  <c r="O10" i="30"/>
  <c r="M10" i="30"/>
  <c r="O12" i="30"/>
  <c r="N12" i="30"/>
  <c r="M12" i="30"/>
  <c r="N7" i="30"/>
  <c r="N6" i="30" s="1"/>
  <c r="O7" i="30"/>
  <c r="O6" i="30" s="1"/>
  <c r="M7" i="30"/>
  <c r="M6" i="30" s="1"/>
  <c r="AA19" i="29"/>
  <c r="M47" i="1" s="1"/>
  <c r="M77" i="1"/>
  <c r="M76" i="1"/>
  <c r="M75" i="1"/>
  <c r="M73" i="1"/>
  <c r="M72" i="1" s="1"/>
  <c r="M66" i="1"/>
  <c r="M64" i="1"/>
  <c r="M33" i="30" l="1"/>
  <c r="N33" i="30"/>
  <c r="O33" i="30"/>
  <c r="O18" i="30"/>
  <c r="O36" i="30" s="1"/>
  <c r="Q13" i="33" s="1"/>
  <c r="N18" i="30"/>
  <c r="N36" i="30" s="1"/>
  <c r="P13" i="33" s="1"/>
  <c r="AA53" i="29"/>
  <c r="M61" i="1" s="1"/>
  <c r="E56" i="29"/>
  <c r="H56" i="29" s="1"/>
  <c r="M56" i="29"/>
  <c r="O56" i="29"/>
  <c r="R56" i="29"/>
  <c r="S56" i="29"/>
  <c r="U56" i="29"/>
  <c r="X56" i="29"/>
  <c r="AA56" i="29"/>
  <c r="AA18" i="29"/>
  <c r="M46" i="1" s="1"/>
  <c r="J46" i="1"/>
  <c r="H46" i="1"/>
  <c r="E46" i="1"/>
  <c r="D46" i="1"/>
  <c r="M33" i="1"/>
  <c r="M31" i="1"/>
  <c r="K19" i="32" s="1"/>
  <c r="M30" i="1"/>
  <c r="K18" i="32" s="1"/>
  <c r="M28" i="1"/>
  <c r="K17" i="32" s="1"/>
  <c r="K15" i="32" s="1"/>
  <c r="M25" i="1"/>
  <c r="M20" i="1"/>
  <c r="M17" i="1"/>
  <c r="M16" i="1"/>
  <c r="M14" i="1"/>
  <c r="M13" i="1"/>
  <c r="Z51" i="29"/>
  <c r="AA51" i="29" s="1"/>
  <c r="M60" i="1" s="1"/>
  <c r="R51" i="29"/>
  <c r="D50" i="29"/>
  <c r="Z49" i="29"/>
  <c r="AA49" i="29" s="1"/>
  <c r="M58" i="1" s="1"/>
  <c r="Z48" i="29"/>
  <c r="AA48" i="29" s="1"/>
  <c r="M57" i="1" s="1"/>
  <c r="Z45" i="29"/>
  <c r="AA45" i="29" s="1"/>
  <c r="M53" i="1" s="1"/>
  <c r="Z44" i="29"/>
  <c r="AA44" i="29" s="1"/>
  <c r="M52" i="1" s="1"/>
  <c r="Z24" i="29"/>
  <c r="Z22" i="29" s="1"/>
  <c r="AA22" i="29" l="1"/>
  <c r="M49" i="1" s="1"/>
  <c r="AB22" i="29"/>
  <c r="M51" i="2" s="1"/>
  <c r="Z40" i="29"/>
  <c r="AB40" i="29" s="1"/>
  <c r="S51" i="29"/>
  <c r="T51" i="29"/>
  <c r="M52" i="2" l="1"/>
  <c r="Z20" i="29"/>
  <c r="AA40" i="29"/>
  <c r="M50" i="1" s="1"/>
  <c r="M48" i="1" s="1"/>
  <c r="V51" i="29"/>
  <c r="U51" i="29"/>
  <c r="W51" i="29"/>
  <c r="X51" i="29" l="1"/>
  <c r="Y51" i="29"/>
  <c r="O47" i="37" l="1"/>
  <c r="O48" i="37"/>
  <c r="J106" i="2" l="1"/>
  <c r="N114" i="2"/>
  <c r="O114" i="2" s="1"/>
  <c r="J294" i="3"/>
  <c r="J351" i="3"/>
  <c r="J460" i="3"/>
  <c r="J279" i="3"/>
  <c r="J280" i="3"/>
  <c r="J93" i="2"/>
  <c r="H103" i="44"/>
  <c r="L101" i="44"/>
  <c r="K101" i="44"/>
  <c r="J101" i="44"/>
  <c r="I101" i="44"/>
  <c r="H101" i="44"/>
  <c r="G101" i="44"/>
  <c r="E101" i="44"/>
  <c r="L88" i="44"/>
  <c r="K88" i="44"/>
  <c r="I88" i="44"/>
  <c r="H88" i="44"/>
  <c r="G88" i="44"/>
  <c r="F88" i="44"/>
  <c r="E88" i="44"/>
  <c r="D88" i="44"/>
  <c r="P87" i="44"/>
  <c r="H85" i="44"/>
  <c r="G85" i="44"/>
  <c r="E85" i="44"/>
  <c r="L84" i="44"/>
  <c r="K84" i="44"/>
  <c r="I84" i="44"/>
  <c r="G84" i="44"/>
  <c r="E84" i="44"/>
  <c r="D84" i="44"/>
  <c r="F80" i="44"/>
  <c r="K78" i="44"/>
  <c r="L78" i="44" s="1"/>
  <c r="I78" i="44"/>
  <c r="H78" i="44"/>
  <c r="I75" i="44"/>
  <c r="H75" i="44"/>
  <c r="F74" i="44"/>
  <c r="D74" i="44"/>
  <c r="F73" i="44"/>
  <c r="E73" i="44"/>
  <c r="D73" i="44"/>
  <c r="G72" i="44"/>
  <c r="D72" i="44"/>
  <c r="G71" i="44"/>
  <c r="F71" i="44"/>
  <c r="D71" i="44"/>
  <c r="J70" i="44"/>
  <c r="F70" i="44"/>
  <c r="F69" i="44" s="1"/>
  <c r="E70" i="44"/>
  <c r="D70" i="44"/>
  <c r="I68" i="44"/>
  <c r="H68" i="44"/>
  <c r="G68" i="44"/>
  <c r="F68" i="44"/>
  <c r="E68" i="44"/>
  <c r="D68" i="44"/>
  <c r="I67" i="44"/>
  <c r="H67" i="44"/>
  <c r="G67" i="44"/>
  <c r="F67" i="44"/>
  <c r="E67" i="44"/>
  <c r="D67" i="44"/>
  <c r="I66" i="44"/>
  <c r="H66" i="44"/>
  <c r="G66" i="44"/>
  <c r="F66" i="44"/>
  <c r="E66" i="44"/>
  <c r="D66" i="44"/>
  <c r="I65" i="44"/>
  <c r="H65" i="44"/>
  <c r="G65" i="44"/>
  <c r="F65" i="44"/>
  <c r="L64" i="44"/>
  <c r="K64" i="44"/>
  <c r="J64" i="44"/>
  <c r="I64" i="44"/>
  <c r="H64" i="44"/>
  <c r="G64" i="44"/>
  <c r="F64" i="44"/>
  <c r="D64" i="44"/>
  <c r="L63" i="44"/>
  <c r="L62" i="44" s="1"/>
  <c r="K63" i="44"/>
  <c r="J63" i="44"/>
  <c r="J62" i="44" s="1"/>
  <c r="I63" i="44"/>
  <c r="I62" i="44" s="1"/>
  <c r="H63" i="44"/>
  <c r="H62" i="44" s="1"/>
  <c r="G63" i="44"/>
  <c r="E63" i="44"/>
  <c r="E62" i="44" s="1"/>
  <c r="K62" i="44"/>
  <c r="G62" i="44"/>
  <c r="F62" i="44"/>
  <c r="D62" i="44"/>
  <c r="I61" i="44"/>
  <c r="H61" i="44"/>
  <c r="G61" i="44"/>
  <c r="E61" i="44"/>
  <c r="E60" i="44" s="1"/>
  <c r="D61" i="44"/>
  <c r="I60" i="44"/>
  <c r="H60" i="44"/>
  <c r="F60" i="44"/>
  <c r="D60" i="44"/>
  <c r="E59" i="44"/>
  <c r="D59" i="44"/>
  <c r="F56" i="44"/>
  <c r="E56" i="44"/>
  <c r="D56" i="44"/>
  <c r="O49" i="44"/>
  <c r="N49" i="44"/>
  <c r="M49" i="44"/>
  <c r="G49" i="44"/>
  <c r="F49" i="44"/>
  <c r="E49" i="44"/>
  <c r="D49" i="44"/>
  <c r="I46" i="44"/>
  <c r="H46" i="44"/>
  <c r="I44" i="44"/>
  <c r="O41" i="44"/>
  <c r="N41" i="44"/>
  <c r="M41" i="44"/>
  <c r="G41" i="44"/>
  <c r="F41" i="44"/>
  <c r="E41" i="44"/>
  <c r="D41" i="44"/>
  <c r="O40" i="44"/>
  <c r="N40" i="44"/>
  <c r="M40" i="44"/>
  <c r="G40" i="44"/>
  <c r="F40" i="44"/>
  <c r="E40" i="44"/>
  <c r="D40" i="44"/>
  <c r="O39" i="44"/>
  <c r="L39" i="44"/>
  <c r="K39" i="44"/>
  <c r="J39" i="44"/>
  <c r="I39" i="44"/>
  <c r="H39" i="44"/>
  <c r="F39" i="44"/>
  <c r="E39" i="44"/>
  <c r="O38" i="44"/>
  <c r="N38" i="44"/>
  <c r="M38" i="44"/>
  <c r="L38" i="44"/>
  <c r="K38" i="44"/>
  <c r="J38" i="44"/>
  <c r="I38" i="44"/>
  <c r="H38" i="44"/>
  <c r="G38" i="44"/>
  <c r="F38" i="44"/>
  <c r="E38" i="44"/>
  <c r="O37" i="44"/>
  <c r="L37" i="44"/>
  <c r="K37" i="44"/>
  <c r="J37" i="44"/>
  <c r="I37" i="44"/>
  <c r="H37" i="44"/>
  <c r="F37" i="44"/>
  <c r="E37" i="44"/>
  <c r="O36" i="44"/>
  <c r="N36" i="44"/>
  <c r="M36" i="44"/>
  <c r="K36" i="44"/>
  <c r="J36" i="44"/>
  <c r="G36" i="44"/>
  <c r="E36" i="44"/>
  <c r="D36" i="44"/>
  <c r="O35" i="44"/>
  <c r="M35" i="44"/>
  <c r="L35" i="44"/>
  <c r="K35" i="44"/>
  <c r="J35" i="44"/>
  <c r="J34" i="44" s="1"/>
  <c r="I35" i="44"/>
  <c r="E35" i="44"/>
  <c r="D35" i="44"/>
  <c r="O34" i="44"/>
  <c r="K34" i="44"/>
  <c r="E34" i="44"/>
  <c r="O31" i="44"/>
  <c r="N31" i="44"/>
  <c r="M31" i="44"/>
  <c r="L31" i="44"/>
  <c r="K31" i="44"/>
  <c r="J31" i="44"/>
  <c r="I31" i="44"/>
  <c r="H31" i="44"/>
  <c r="G31" i="44"/>
  <c r="F31" i="44"/>
  <c r="E31" i="44"/>
  <c r="D31" i="44"/>
  <c r="O30" i="44"/>
  <c r="M30" i="44"/>
  <c r="L30" i="44"/>
  <c r="K30" i="44"/>
  <c r="J30" i="44"/>
  <c r="I30" i="44"/>
  <c r="H30" i="44"/>
  <c r="G30" i="44"/>
  <c r="F30" i="44"/>
  <c r="E30" i="44"/>
  <c r="D30" i="44"/>
  <c r="O29" i="44"/>
  <c r="N29" i="44"/>
  <c r="G29" i="44"/>
  <c r="E29" i="44"/>
  <c r="D27" i="44"/>
  <c r="O26" i="44"/>
  <c r="M26" i="44"/>
  <c r="E26" i="44"/>
  <c r="D26" i="44"/>
  <c r="D25" i="44"/>
  <c r="D39" i="44" s="1"/>
  <c r="M24" i="44"/>
  <c r="K22" i="44"/>
  <c r="L22" i="44" s="1"/>
  <c r="J22" i="44"/>
  <c r="O21" i="44"/>
  <c r="N21" i="44"/>
  <c r="M21" i="44"/>
  <c r="L21" i="44"/>
  <c r="K21" i="44"/>
  <c r="I21" i="44"/>
  <c r="O19" i="44"/>
  <c r="M19" i="44"/>
  <c r="F19" i="44"/>
  <c r="M16" i="44"/>
  <c r="F16" i="44"/>
  <c r="O14" i="44"/>
  <c r="N14" i="44"/>
  <c r="M14" i="44"/>
  <c r="F14" i="44"/>
  <c r="D14" i="44"/>
  <c r="O13" i="44"/>
  <c r="N13" i="44"/>
  <c r="M13" i="44"/>
  <c r="D13" i="44"/>
  <c r="O12" i="44"/>
  <c r="N12" i="44"/>
  <c r="M12" i="44"/>
  <c r="D12" i="44"/>
  <c r="O11" i="44"/>
  <c r="N11" i="44"/>
  <c r="M11" i="44"/>
  <c r="D11" i="44"/>
  <c r="M65" i="1"/>
  <c r="M63" i="1"/>
  <c r="M27" i="1"/>
  <c r="M21" i="1"/>
  <c r="G28" i="44" l="1"/>
  <c r="D28" i="44"/>
  <c r="F28" i="44"/>
  <c r="J85" i="44"/>
  <c r="I85" i="44"/>
  <c r="N109" i="44"/>
  <c r="O109" i="44"/>
  <c r="N115" i="44" s="1"/>
  <c r="M286" i="4"/>
  <c r="Z13" i="29"/>
  <c r="AA13" i="29" s="1"/>
  <c r="M42" i="1" s="1"/>
  <c r="N111" i="44" l="1"/>
  <c r="P109" i="44"/>
  <c r="K85" i="44"/>
  <c r="F44" i="37"/>
  <c r="D44" i="37"/>
  <c r="N112" i="44" l="1"/>
  <c r="L85" i="44"/>
  <c r="J44" i="37"/>
  <c r="E44" i="37"/>
  <c r="AB42" i="29" l="1"/>
  <c r="AA42" i="29"/>
  <c r="Z42" i="29"/>
  <c r="AB34" i="29"/>
  <c r="AA34" i="29"/>
  <c r="Z34" i="29"/>
  <c r="AB31" i="29"/>
  <c r="AA31" i="29"/>
  <c r="Z31" i="29"/>
  <c r="AB28" i="29"/>
  <c r="AA28" i="29"/>
  <c r="Z28" i="29"/>
  <c r="AB25" i="29"/>
  <c r="AA25" i="29"/>
  <c r="Z25" i="29"/>
  <c r="AA21" i="29"/>
  <c r="Z21" i="29"/>
  <c r="O46" i="37"/>
  <c r="O21" i="37"/>
  <c r="O19" i="37"/>
  <c r="O20" i="37"/>
  <c r="O15" i="37"/>
  <c r="O14" i="37"/>
  <c r="O8" i="37"/>
  <c r="AA20" i="29" l="1"/>
  <c r="AB21" i="29"/>
  <c r="AB20" i="29" s="1"/>
  <c r="Q57" i="3" l="1"/>
  <c r="Q40" i="3"/>
  <c r="Q39" i="3"/>
  <c r="Q36" i="3"/>
  <c r="Q18" i="3"/>
  <c r="Q19" i="3" s="1"/>
  <c r="Q17" i="3"/>
  <c r="N476" i="4"/>
  <c r="O476" i="4"/>
  <c r="M473" i="4"/>
  <c r="O468" i="4"/>
  <c r="N468" i="4"/>
  <c r="O29" i="33" l="1"/>
  <c r="M476" i="4"/>
  <c r="L386" i="4"/>
  <c r="N328" i="4"/>
  <c r="N333" i="4" s="1"/>
  <c r="O328" i="4"/>
  <c r="O333" i="4" s="1"/>
  <c r="M197" i="8"/>
  <c r="M199" i="8"/>
  <c r="M202" i="8"/>
  <c r="M205" i="8"/>
  <c r="M208" i="8"/>
  <c r="M211" i="8"/>
  <c r="M216" i="8"/>
  <c r="M218" i="8"/>
  <c r="M219" i="8"/>
  <c r="M220" i="8"/>
  <c r="M222" i="8"/>
  <c r="J153" i="8"/>
  <c r="M113" i="8"/>
  <c r="M115" i="8"/>
  <c r="M117" i="8"/>
  <c r="M120" i="8"/>
  <c r="M123" i="8"/>
  <c r="M126" i="8"/>
  <c r="M129" i="8"/>
  <c r="M132" i="8"/>
  <c r="M135" i="8"/>
  <c r="M138" i="8"/>
  <c r="M141" i="8"/>
  <c r="M144" i="8"/>
  <c r="M147" i="8"/>
  <c r="M149" i="8"/>
  <c r="M151" i="8"/>
  <c r="M114" i="8"/>
  <c r="M112" i="8" s="1"/>
  <c r="J112" i="8"/>
  <c r="N112" i="8"/>
  <c r="O112" i="8"/>
  <c r="N153" i="8"/>
  <c r="O153" i="8"/>
  <c r="J90" i="17" l="1"/>
  <c r="K90" i="17"/>
  <c r="J65" i="17"/>
  <c r="N306" i="4" l="1"/>
  <c r="O306" i="4"/>
  <c r="N249" i="4"/>
  <c r="N251" i="4" s="1"/>
  <c r="J94" i="17"/>
  <c r="M377" i="4"/>
  <c r="N377" i="4"/>
  <c r="O377" i="4"/>
  <c r="M371" i="4"/>
  <c r="N371" i="4"/>
  <c r="O371" i="4"/>
  <c r="M365" i="4"/>
  <c r="N365" i="4"/>
  <c r="O365" i="4"/>
  <c r="M359" i="4"/>
  <c r="N359" i="4"/>
  <c r="O359" i="4"/>
  <c r="M353" i="4"/>
  <c r="N353" i="4"/>
  <c r="O353" i="4"/>
  <c r="M347" i="4"/>
  <c r="N347" i="4"/>
  <c r="O347" i="4"/>
  <c r="M251" i="4"/>
  <c r="Q2" i="42"/>
  <c r="Q3" i="42"/>
  <c r="I4" i="42"/>
  <c r="Q4" i="42"/>
  <c r="G5" i="42"/>
  <c r="K5" i="42"/>
  <c r="O8" i="42"/>
  <c r="Q19" i="42" s="1"/>
  <c r="I9" i="42"/>
  <c r="L9" i="42"/>
  <c r="M9" i="42"/>
  <c r="N9" i="42"/>
  <c r="O14" i="42"/>
  <c r="O15" i="42"/>
  <c r="O16" i="42" s="1"/>
  <c r="P15" i="42"/>
  <c r="Q15" i="42"/>
  <c r="Q16" i="42" s="1"/>
  <c r="P16" i="42"/>
  <c r="O18" i="42"/>
  <c r="P18" i="42"/>
  <c r="Q18" i="42"/>
  <c r="O19" i="42"/>
  <c r="P19" i="42"/>
  <c r="O22" i="42"/>
  <c r="O29" i="42"/>
  <c r="O30" i="42"/>
  <c r="P30" i="42"/>
  <c r="Q30" i="42"/>
  <c r="O34" i="42"/>
  <c r="P34" i="42"/>
  <c r="Q34" i="42"/>
  <c r="P22" i="42" l="1"/>
  <c r="P29" i="42" s="1"/>
  <c r="Q22" i="42"/>
  <c r="Q29" i="42" s="1"/>
  <c r="Q28" i="42" s="1"/>
  <c r="O104" i="4" s="1"/>
  <c r="O249" i="4"/>
  <c r="O251" i="4" s="1"/>
  <c r="O28" i="42"/>
  <c r="P28" i="42"/>
  <c r="P6" i="42"/>
  <c r="Q6" i="42"/>
  <c r="P35" i="42"/>
  <c r="P48" i="42" s="1"/>
  <c r="P32" i="33" s="1"/>
  <c r="M104" i="4" l="1"/>
  <c r="U32" i="42"/>
  <c r="O35" i="42"/>
  <c r="O48" i="42" s="1"/>
  <c r="V32" i="42"/>
  <c r="N104" i="4"/>
  <c r="N39" i="33"/>
  <c r="O39" i="33" s="1"/>
  <c r="W32" i="42"/>
  <c r="Q35" i="42"/>
  <c r="Q48" i="42" s="1"/>
  <c r="Q32" i="33" s="1"/>
  <c r="M106" i="1"/>
  <c r="O32" i="33"/>
  <c r="R6" i="42"/>
  <c r="M254" i="4"/>
  <c r="M262" i="4" s="1"/>
  <c r="N254" i="4"/>
  <c r="N262" i="4" s="1"/>
  <c r="O254" i="4"/>
  <c r="O262" i="4" s="1"/>
  <c r="M238" i="4"/>
  <c r="N238" i="4"/>
  <c r="O232" i="4"/>
  <c r="O234" i="4" s="1"/>
  <c r="N232" i="4"/>
  <c r="N234" i="4" s="1"/>
  <c r="M232" i="4"/>
  <c r="M234" i="4" s="1"/>
  <c r="M217" i="4"/>
  <c r="N217" i="4" s="1"/>
  <c r="O217" i="4" s="1"/>
  <c r="P39" i="33" l="1"/>
  <c r="Q39" i="33" s="1"/>
  <c r="L39" i="33"/>
  <c r="L41" i="33" s="1"/>
  <c r="N240" i="4"/>
  <c r="M240" i="4"/>
  <c r="O238" i="4"/>
  <c r="O240" i="4" s="1"/>
  <c r="M209" i="4"/>
  <c r="M210" i="4" s="1"/>
  <c r="M218" i="4"/>
  <c r="N218" i="4"/>
  <c r="O218" i="4"/>
  <c r="M214" i="4"/>
  <c r="N214" i="4"/>
  <c r="O214" i="4"/>
  <c r="M39" i="33" l="1"/>
  <c r="L45" i="33" s="1"/>
  <c r="N209" i="4"/>
  <c r="M219" i="4"/>
  <c r="M19" i="1" s="1"/>
  <c r="K10" i="32" s="1"/>
  <c r="N170" i="4"/>
  <c r="O170" i="4" s="1"/>
  <c r="O172" i="4" s="1"/>
  <c r="O174" i="4" s="1"/>
  <c r="O177" i="4" s="1"/>
  <c r="O168" i="4"/>
  <c r="N168" i="4"/>
  <c r="M168" i="4"/>
  <c r="M172" i="4" s="1"/>
  <c r="M174" i="4" s="1"/>
  <c r="M177" i="4" s="1"/>
  <c r="R168" i="4"/>
  <c r="Q170" i="4" s="1"/>
  <c r="Q168" i="4"/>
  <c r="S153" i="4"/>
  <c r="R153" i="4"/>
  <c r="S111" i="4"/>
  <c r="S129" i="4" s="1"/>
  <c r="S157" i="4" s="1"/>
  <c r="R129" i="4"/>
  <c r="R115" i="4"/>
  <c r="Q194" i="4"/>
  <c r="R157" i="4" l="1"/>
  <c r="O209" i="4"/>
  <c r="O210" i="4" s="1"/>
  <c r="O219" i="4" s="1"/>
  <c r="N210" i="4"/>
  <c r="N219" i="4" s="1"/>
  <c r="N172" i="4"/>
  <c r="N174" i="4" s="1"/>
  <c r="N177" i="4" s="1"/>
  <c r="H376" i="4" l="1"/>
  <c r="E347" i="4"/>
  <c r="N111" i="4"/>
  <c r="M111" i="4"/>
  <c r="O112" i="4"/>
  <c r="O111" i="4" s="1"/>
  <c r="D130" i="4"/>
  <c r="D131" i="4"/>
  <c r="D112" i="4"/>
  <c r="M74" i="4" l="1"/>
  <c r="M70" i="4"/>
  <c r="M71" i="4" s="1"/>
  <c r="M89" i="4"/>
  <c r="M56" i="4"/>
  <c r="M55" i="4"/>
  <c r="M57" i="4" s="1"/>
  <c r="M51" i="4"/>
  <c r="M39" i="4"/>
  <c r="I37" i="4"/>
  <c r="J37" i="4"/>
  <c r="K37" i="4"/>
  <c r="L37" i="4"/>
  <c r="M37" i="4"/>
  <c r="M31" i="4"/>
  <c r="M28" i="4"/>
  <c r="M27" i="4"/>
  <c r="M24" i="4"/>
  <c r="M23" i="4"/>
  <c r="M20" i="4"/>
  <c r="M19" i="4"/>
  <c r="N97" i="4"/>
  <c r="O97" i="4"/>
  <c r="N80" i="4"/>
  <c r="N96" i="4" s="1"/>
  <c r="O80" i="4"/>
  <c r="O96" i="4" s="1"/>
  <c r="N57" i="4"/>
  <c r="O57" i="4"/>
  <c r="N53" i="4"/>
  <c r="O53" i="4"/>
  <c r="N49" i="4"/>
  <c r="O49" i="4"/>
  <c r="N45" i="4"/>
  <c r="O45" i="4"/>
  <c r="N41" i="4"/>
  <c r="O41" i="4"/>
  <c r="N33" i="4"/>
  <c r="O33" i="4"/>
  <c r="N29" i="4"/>
  <c r="O29" i="4"/>
  <c r="N25" i="4"/>
  <c r="O25" i="4"/>
  <c r="M21" i="4"/>
  <c r="Q18" i="28"/>
  <c r="P18" i="28"/>
  <c r="O18" i="28"/>
  <c r="M9" i="28"/>
  <c r="N9" i="28"/>
  <c r="L9" i="28"/>
  <c r="P16" i="28"/>
  <c r="Q16" i="28"/>
  <c r="P15" i="28"/>
  <c r="Q15" i="28"/>
  <c r="I9" i="28"/>
  <c r="K5" i="28"/>
  <c r="O16" i="28"/>
  <c r="O15" i="28"/>
  <c r="G5" i="28"/>
  <c r="I4" i="28"/>
  <c r="O14" i="28"/>
  <c r="M25" i="4" l="1"/>
  <c r="M29" i="4"/>
  <c r="G57" i="4" l="1"/>
  <c r="C95" i="41" l="1"/>
  <c r="B81" i="41"/>
  <c r="C78" i="41"/>
  <c r="D90" i="41" s="1"/>
  <c r="B59" i="41"/>
  <c r="B47" i="41"/>
  <c r="C44" i="41"/>
  <c r="D56" i="41" s="1"/>
  <c r="E32" i="41"/>
  <c r="D32" i="41"/>
  <c r="E31" i="41"/>
  <c r="D31" i="41"/>
  <c r="E30" i="41"/>
  <c r="D30" i="41"/>
  <c r="E26" i="41"/>
  <c r="E29" i="41" s="1"/>
  <c r="D26" i="41"/>
  <c r="D29" i="41" s="1"/>
  <c r="B35" i="40"/>
  <c r="C35" i="40" s="1"/>
  <c r="D35" i="40" s="1"/>
  <c r="C34" i="40"/>
  <c r="D34" i="40" s="1"/>
  <c r="B34" i="40"/>
  <c r="B33" i="40"/>
  <c r="C33" i="40" s="1"/>
  <c r="D33" i="40" s="1"/>
  <c r="D32" i="40"/>
  <c r="D31" i="40"/>
  <c r="B31" i="40"/>
  <c r="D30" i="40"/>
  <c r="D29" i="40"/>
  <c r="B28" i="40"/>
  <c r="C27" i="40"/>
  <c r="B27" i="40"/>
  <c r="B36" i="40" s="1"/>
  <c r="B19" i="40"/>
  <c r="C19" i="40" s="1"/>
  <c r="D19" i="40" s="1"/>
  <c r="C18" i="40"/>
  <c r="D18" i="40" s="1"/>
  <c r="B18" i="40"/>
  <c r="C17" i="40"/>
  <c r="D17" i="40" s="1"/>
  <c r="D16" i="40"/>
  <c r="B15" i="40"/>
  <c r="D15" i="40" s="1"/>
  <c r="D14" i="40"/>
  <c r="D13" i="40"/>
  <c r="C12" i="40"/>
  <c r="D12" i="40" s="1"/>
  <c r="B12" i="40"/>
  <c r="C11" i="40"/>
  <c r="C20" i="40" s="1"/>
  <c r="D20" i="40" s="1"/>
  <c r="B22" i="40" s="1"/>
  <c r="B11" i="40"/>
  <c r="B20" i="40" s="1"/>
  <c r="C36" i="40" l="1"/>
  <c r="D36" i="40" s="1"/>
  <c r="B38" i="40" s="1"/>
  <c r="D11" i="40"/>
  <c r="D27" i="40"/>
  <c r="C28" i="40"/>
  <c r="D28" i="40" s="1"/>
  <c r="L68" i="2" l="1"/>
  <c r="K68" i="2"/>
  <c r="J68" i="2"/>
  <c r="D48" i="27" l="1"/>
  <c r="F44" i="27"/>
  <c r="E44" i="27"/>
  <c r="D44" i="27"/>
  <c r="C42" i="27"/>
  <c r="D42" i="27" s="1"/>
  <c r="E42" i="27" s="1"/>
  <c r="F42" i="27" s="1"/>
  <c r="C39" i="27"/>
  <c r="D39" i="27" s="1"/>
  <c r="B39" i="27"/>
  <c r="B48" i="27" s="1"/>
  <c r="D46" i="27" l="1"/>
  <c r="E39" i="27"/>
  <c r="C48" i="27"/>
  <c r="D10" i="12"/>
  <c r="F10" i="12"/>
  <c r="E10" i="12"/>
  <c r="C13" i="12"/>
  <c r="E46" i="27" l="1"/>
  <c r="F39" i="27"/>
  <c r="E48" i="27"/>
  <c r="E13" i="12"/>
  <c r="B21" i="12"/>
  <c r="D21" i="12" s="1"/>
  <c r="F48" i="27" l="1"/>
  <c r="F46" i="27"/>
  <c r="I15" i="36"/>
  <c r="J15" i="36"/>
  <c r="K15" i="36"/>
  <c r="L15" i="36"/>
  <c r="O18" i="35"/>
  <c r="P18" i="35"/>
  <c r="Q18" i="35"/>
  <c r="H83" i="2"/>
  <c r="J18" i="35" s="1"/>
  <c r="I83" i="2"/>
  <c r="J83" i="2" s="1"/>
  <c r="L18" i="35" s="1"/>
  <c r="K83" i="2" l="1"/>
  <c r="M18" i="35" s="1"/>
  <c r="K18" i="35"/>
  <c r="L83" i="2"/>
  <c r="N18" i="35" s="1"/>
  <c r="L18" i="33"/>
  <c r="M18" i="33" s="1"/>
  <c r="N18" i="33" s="1"/>
  <c r="K18" i="33"/>
  <c r="J81" i="1"/>
  <c r="K81" i="1" s="1"/>
  <c r="L81" i="1" s="1"/>
  <c r="I81" i="1"/>
  <c r="J70" i="26" l="1"/>
  <c r="H336" i="3" l="1"/>
  <c r="I336" i="3"/>
  <c r="J336" i="3"/>
  <c r="K336" i="3"/>
  <c r="E130" i="3" l="1"/>
  <c r="F130" i="3"/>
  <c r="G130" i="3"/>
  <c r="J130" i="3"/>
  <c r="K130" i="3"/>
  <c r="L130" i="3"/>
  <c r="S130" i="3"/>
  <c r="T130" i="3"/>
  <c r="U130" i="3"/>
  <c r="Q131" i="3"/>
  <c r="Q130" i="3" s="1"/>
  <c r="R131" i="3"/>
  <c r="R130" i="3" s="1"/>
  <c r="D132" i="3"/>
  <c r="D130" i="3" s="1"/>
  <c r="Q132" i="3"/>
  <c r="R132" i="3"/>
  <c r="Q134" i="3"/>
  <c r="R134" i="3"/>
  <c r="E136" i="3"/>
  <c r="S136" i="3"/>
  <c r="T136" i="3"/>
  <c r="U136" i="3"/>
  <c r="E142" i="3"/>
  <c r="S142" i="3"/>
  <c r="T142" i="3"/>
  <c r="U142" i="3"/>
  <c r="D149" i="3"/>
  <c r="D168" i="3" s="1"/>
  <c r="D170" i="3" s="1"/>
  <c r="D173" i="3" s="1"/>
  <c r="D16" i="44" s="1"/>
  <c r="J149" i="3"/>
  <c r="K149" i="3"/>
  <c r="L149" i="3" s="1"/>
  <c r="Q149" i="3"/>
  <c r="R149" i="3"/>
  <c r="R168" i="3" s="1"/>
  <c r="R170" i="3" s="1"/>
  <c r="R173" i="3" s="1"/>
  <c r="D150" i="3"/>
  <c r="J150" i="3"/>
  <c r="K150" i="3" s="1"/>
  <c r="L150" i="3" s="1"/>
  <c r="Q150" i="3"/>
  <c r="R150" i="3"/>
  <c r="D152" i="3"/>
  <c r="E152" i="3"/>
  <c r="J152" i="3"/>
  <c r="K152" i="3" s="1"/>
  <c r="Q152" i="3"/>
  <c r="R152" i="3"/>
  <c r="E163" i="3"/>
  <c r="S163" i="3"/>
  <c r="T163" i="3"/>
  <c r="U163" i="3"/>
  <c r="E164" i="3"/>
  <c r="S164" i="3"/>
  <c r="T164" i="3"/>
  <c r="U164" i="3"/>
  <c r="E168" i="3"/>
  <c r="F168" i="3"/>
  <c r="G168" i="3"/>
  <c r="G170" i="3" s="1"/>
  <c r="G173" i="3" s="1"/>
  <c r="G16" i="44" s="1"/>
  <c r="Q168" i="3"/>
  <c r="Q170" i="3" s="1"/>
  <c r="Q173" i="3" s="1"/>
  <c r="S168" i="3"/>
  <c r="S170" i="3" s="1"/>
  <c r="S173" i="3" s="1"/>
  <c r="T168" i="3"/>
  <c r="U168" i="3"/>
  <c r="U170" i="3" s="1"/>
  <c r="U173" i="3" s="1"/>
  <c r="E170" i="3"/>
  <c r="E173" i="3" s="1"/>
  <c r="E16" i="44" s="1"/>
  <c r="T170" i="3"/>
  <c r="F173" i="3"/>
  <c r="T173" i="3"/>
  <c r="V173" i="3"/>
  <c r="H189" i="3"/>
  <c r="I189" i="3"/>
  <c r="J189" i="3"/>
  <c r="K189" i="3" s="1"/>
  <c r="D191" i="3"/>
  <c r="E191" i="3"/>
  <c r="F191" i="3"/>
  <c r="G191" i="3"/>
  <c r="H191" i="3"/>
  <c r="I191" i="3"/>
  <c r="J191" i="3"/>
  <c r="D192" i="3"/>
  <c r="D193" i="3" s="1"/>
  <c r="D196" i="3" s="1"/>
  <c r="D17" i="44" s="1"/>
  <c r="E192" i="3"/>
  <c r="Q192" i="3"/>
  <c r="R192" i="3"/>
  <c r="S192" i="3"/>
  <c r="E193" i="3"/>
  <c r="F193" i="3"/>
  <c r="G193" i="3"/>
  <c r="H193" i="3"/>
  <c r="I193" i="3"/>
  <c r="J193" i="3"/>
  <c r="Q193" i="3"/>
  <c r="Q196" i="3" s="1"/>
  <c r="R193" i="3"/>
  <c r="R196" i="3" s="1"/>
  <c r="S193" i="3"/>
  <c r="S196" i="3" s="1"/>
  <c r="E196" i="3"/>
  <c r="E17" i="44" s="1"/>
  <c r="F196" i="3"/>
  <c r="F17" i="44" s="1"/>
  <c r="F15" i="44" s="1"/>
  <c r="G196" i="3"/>
  <c r="G17" i="44" s="1"/>
  <c r="H196" i="3"/>
  <c r="H17" i="44" s="1"/>
  <c r="I196" i="3"/>
  <c r="I17" i="44" s="1"/>
  <c r="J196" i="3"/>
  <c r="J17" i="44" s="1"/>
  <c r="N17" i="44" l="1"/>
  <c r="N7" i="34"/>
  <c r="O17" i="44"/>
  <c r="O7" i="34"/>
  <c r="M7" i="34"/>
  <c r="U162" i="3"/>
  <c r="S162" i="3"/>
  <c r="J168" i="3"/>
  <c r="J170" i="3" s="1"/>
  <c r="J173" i="3" s="1"/>
  <c r="T162" i="3"/>
  <c r="E162" i="3"/>
  <c r="K191" i="3"/>
  <c r="K193" i="3" s="1"/>
  <c r="K196" i="3" s="1"/>
  <c r="K17" i="44" s="1"/>
  <c r="L189" i="3"/>
  <c r="L191" i="3" s="1"/>
  <c r="L193" i="3" s="1"/>
  <c r="L196" i="3" s="1"/>
  <c r="L17" i="44" s="1"/>
  <c r="L152" i="3"/>
  <c r="K168" i="3"/>
  <c r="K170" i="3" s="1"/>
  <c r="K173" i="3" s="1"/>
  <c r="L168" i="3"/>
  <c r="L170" i="3" s="1"/>
  <c r="L173" i="3" s="1"/>
  <c r="H476" i="4"/>
  <c r="I476" i="4"/>
  <c r="H292" i="4"/>
  <c r="I292" i="4"/>
  <c r="H15" i="36"/>
  <c r="L413" i="3"/>
  <c r="J23" i="35"/>
  <c r="K23" i="35"/>
  <c r="L23" i="35"/>
  <c r="M23" i="35"/>
  <c r="N23" i="35"/>
  <c r="J497" i="3"/>
  <c r="K497" i="3"/>
  <c r="T497" i="3"/>
  <c r="I497" i="3"/>
  <c r="H497" i="3"/>
  <c r="H24" i="34" s="1"/>
  <c r="I24" i="34"/>
  <c r="J24" i="34"/>
  <c r="K24" i="34"/>
  <c r="H321" i="3"/>
  <c r="I359" i="3"/>
  <c r="I360" i="3" s="1"/>
  <c r="J359" i="3"/>
  <c r="K359" i="3"/>
  <c r="L359" i="3"/>
  <c r="H359" i="3"/>
  <c r="N25" i="36"/>
  <c r="H9" i="36"/>
  <c r="L497" i="3" l="1"/>
  <c r="K61" i="44"/>
  <c r="M66" i="2"/>
  <c r="M65" i="2" s="1"/>
  <c r="J61" i="44"/>
  <c r="J60" i="44"/>
  <c r="H360" i="3"/>
  <c r="H358" i="3" s="1"/>
  <c r="I358" i="3"/>
  <c r="I363" i="3" s="1"/>
  <c r="B6" i="12"/>
  <c r="B7" i="12"/>
  <c r="B8" i="12"/>
  <c r="K113" i="26"/>
  <c r="L113" i="26"/>
  <c r="J35" i="2"/>
  <c r="K35" i="2"/>
  <c r="L35" i="2"/>
  <c r="I35" i="2"/>
  <c r="L24" i="34" l="1"/>
  <c r="S497" i="3"/>
  <c r="L61" i="44"/>
  <c r="I466" i="3"/>
  <c r="J466" i="3"/>
  <c r="K466" i="3"/>
  <c r="L466" i="3"/>
  <c r="T466" i="3"/>
  <c r="I465" i="3"/>
  <c r="J465" i="3"/>
  <c r="K465" i="3"/>
  <c r="L465" i="3"/>
  <c r="H465" i="3"/>
  <c r="I460" i="3"/>
  <c r="J15" i="34"/>
  <c r="H460" i="3"/>
  <c r="H70" i="44" s="1"/>
  <c r="J75" i="2"/>
  <c r="H128" i="1"/>
  <c r="I128" i="1"/>
  <c r="I130" i="1" s="1"/>
  <c r="J128" i="1"/>
  <c r="J130" i="1" s="1"/>
  <c r="K128" i="1"/>
  <c r="K130" i="1" s="1"/>
  <c r="G128" i="1"/>
  <c r="H68" i="2"/>
  <c r="I15" i="34" l="1"/>
  <c r="I70" i="44"/>
  <c r="L16" i="34"/>
  <c r="L73" i="44"/>
  <c r="J16" i="34"/>
  <c r="J73" i="44"/>
  <c r="K19" i="34"/>
  <c r="R466" i="3"/>
  <c r="N19" i="34" s="1"/>
  <c r="K74" i="44"/>
  <c r="I19" i="34"/>
  <c r="I74" i="44"/>
  <c r="I75" i="2"/>
  <c r="H16" i="34"/>
  <c r="H73" i="44"/>
  <c r="K16" i="34"/>
  <c r="R465" i="3"/>
  <c r="K73" i="44"/>
  <c r="I16" i="34"/>
  <c r="I73" i="44"/>
  <c r="L19" i="34"/>
  <c r="S466" i="3"/>
  <c r="O19" i="34" s="1"/>
  <c r="L74" i="44"/>
  <c r="J19" i="34"/>
  <c r="Q466" i="3"/>
  <c r="J74" i="44"/>
  <c r="H75" i="2"/>
  <c r="H15" i="34"/>
  <c r="H66" i="2"/>
  <c r="I39" i="2"/>
  <c r="J39" i="2"/>
  <c r="K39" i="2"/>
  <c r="L39" i="2"/>
  <c r="H39" i="2"/>
  <c r="I38" i="2"/>
  <c r="J38" i="2"/>
  <c r="K38" i="2"/>
  <c r="L38" i="2"/>
  <c r="H38" i="2"/>
  <c r="F8" i="35"/>
  <c r="G8" i="35"/>
  <c r="H8" i="35"/>
  <c r="M19" i="34" l="1"/>
  <c r="M79" i="2"/>
  <c r="N16" i="34"/>
  <c r="S465" i="3"/>
  <c r="O16" i="34" s="1"/>
  <c r="I24" i="30"/>
  <c r="J24" i="30"/>
  <c r="K24" i="30"/>
  <c r="L24" i="30"/>
  <c r="H24" i="30"/>
  <c r="I23" i="30"/>
  <c r="J23" i="30"/>
  <c r="K23" i="30"/>
  <c r="L23" i="30"/>
  <c r="I22" i="30"/>
  <c r="J22" i="30"/>
  <c r="K22" i="30"/>
  <c r="L22" i="30"/>
  <c r="H22" i="30"/>
  <c r="I19" i="30"/>
  <c r="J19" i="30"/>
  <c r="K19" i="30"/>
  <c r="K32" i="33"/>
  <c r="L32" i="33"/>
  <c r="M32" i="33"/>
  <c r="N32" i="33"/>
  <c r="J20" i="33"/>
  <c r="H114" i="26" l="1"/>
  <c r="I73" i="1"/>
  <c r="I20" i="30" s="1"/>
  <c r="J73" i="1"/>
  <c r="J20" i="30" s="1"/>
  <c r="K73" i="1"/>
  <c r="K20" i="30" s="1"/>
  <c r="L73" i="1"/>
  <c r="L20" i="30" s="1"/>
  <c r="H73" i="1"/>
  <c r="H20" i="30" s="1"/>
  <c r="I62" i="1"/>
  <c r="H62" i="1"/>
  <c r="I64" i="1"/>
  <c r="O53" i="29"/>
  <c r="P53" i="29"/>
  <c r="T295" i="3"/>
  <c r="L21" i="2"/>
  <c r="I21" i="2"/>
  <c r="I9" i="36" s="1"/>
  <c r="K21" i="2"/>
  <c r="L414" i="3"/>
  <c r="K414" i="3"/>
  <c r="J414" i="3"/>
  <c r="L385" i="4"/>
  <c r="K385" i="4"/>
  <c r="J385" i="4"/>
  <c r="M385" i="4" s="1"/>
  <c r="H63" i="2" l="1"/>
  <c r="H58" i="44"/>
  <c r="I63" i="2"/>
  <c r="I58" i="44"/>
  <c r="H61" i="1"/>
  <c r="I61" i="1"/>
  <c r="Q53" i="29"/>
  <c r="T53" i="29" s="1"/>
  <c r="W53" i="29" s="1"/>
  <c r="I106" i="2"/>
  <c r="K106" i="2"/>
  <c r="L106" i="2"/>
  <c r="H108" i="2"/>
  <c r="H106" i="2" s="1"/>
  <c r="L79" i="2" l="1"/>
  <c r="I79" i="2"/>
  <c r="J79" i="2"/>
  <c r="K79" i="2"/>
  <c r="H78" i="2"/>
  <c r="I78" i="2"/>
  <c r="J78" i="2"/>
  <c r="K78" i="2"/>
  <c r="L78" i="2"/>
  <c r="K66" i="2"/>
  <c r="L66" i="2"/>
  <c r="I66" i="2"/>
  <c r="K14" i="37" l="1"/>
  <c r="J14" i="37"/>
  <c r="G14" i="37"/>
  <c r="J209" i="4"/>
  <c r="K209" i="4" s="1"/>
  <c r="L209" i="4" s="1"/>
  <c r="I209" i="4"/>
  <c r="J213" i="4"/>
  <c r="K213" i="4" s="1"/>
  <c r="L213" i="4" s="1"/>
  <c r="H214" i="4"/>
  <c r="I214" i="4"/>
  <c r="H210" i="4"/>
  <c r="I65" i="2" l="1"/>
  <c r="I23" i="36" s="1"/>
  <c r="H65" i="2"/>
  <c r="H23" i="36" s="1"/>
  <c r="F55" i="1" l="1"/>
  <c r="D55" i="1"/>
  <c r="W22" i="29" l="1"/>
  <c r="T22" i="29"/>
  <c r="Q22" i="29"/>
  <c r="P22" i="29"/>
  <c r="O22" i="29"/>
  <c r="Q24" i="29"/>
  <c r="R24" i="29" s="1"/>
  <c r="O21" i="29"/>
  <c r="H46" i="2"/>
  <c r="I44" i="2"/>
  <c r="I37" i="2"/>
  <c r="J37" i="2"/>
  <c r="K37" i="2"/>
  <c r="L37" i="2"/>
  <c r="J36" i="2"/>
  <c r="H343" i="3"/>
  <c r="H351" i="3"/>
  <c r="I416" i="3"/>
  <c r="H30" i="2"/>
  <c r="I17" i="2"/>
  <c r="I8" i="34" s="1"/>
  <c r="J17" i="2"/>
  <c r="J8" i="34" s="1"/>
  <c r="K17" i="2"/>
  <c r="K8" i="34" s="1"/>
  <c r="L17" i="2"/>
  <c r="L8" i="34" s="1"/>
  <c r="H17" i="2"/>
  <c r="H8" i="34" s="1"/>
  <c r="I36" i="2" l="1"/>
  <c r="I36" i="44"/>
  <c r="I34" i="44" s="1"/>
  <c r="H36" i="44"/>
  <c r="H35" i="44"/>
  <c r="H34" i="44" s="1"/>
  <c r="I51" i="2"/>
  <c r="I50" i="44"/>
  <c r="H51" i="2"/>
  <c r="H50" i="44"/>
  <c r="I30" i="2"/>
  <c r="I321" i="3"/>
  <c r="H35" i="2"/>
  <c r="H363" i="3"/>
  <c r="H23" i="30"/>
  <c r="L19" i="30"/>
  <c r="H19" i="30"/>
  <c r="I60" i="17"/>
  <c r="I72" i="1"/>
  <c r="J72" i="1"/>
  <c r="K72" i="1"/>
  <c r="L72" i="1"/>
  <c r="H72" i="1"/>
  <c r="H70" i="26"/>
  <c r="J113" i="26"/>
  <c r="I113" i="26"/>
  <c r="I96" i="26"/>
  <c r="L96" i="26"/>
  <c r="L69" i="26" s="1"/>
  <c r="K96" i="26"/>
  <c r="K69" i="26" s="1"/>
  <c r="J96" i="26"/>
  <c r="J69" i="26" s="1"/>
  <c r="I69" i="26" l="1"/>
  <c r="J23" i="1"/>
  <c r="J11" i="32" s="1"/>
  <c r="H106" i="1"/>
  <c r="J32" i="33" s="1"/>
  <c r="I33" i="1"/>
  <c r="J33" i="1"/>
  <c r="K33" i="1"/>
  <c r="L33" i="1"/>
  <c r="H313" i="4"/>
  <c r="H33" i="1" s="1"/>
  <c r="I90" i="1"/>
  <c r="L89" i="1"/>
  <c r="H56" i="1"/>
  <c r="L417" i="3"/>
  <c r="L416" i="3"/>
  <c r="L415" i="3"/>
  <c r="K417" i="3"/>
  <c r="K416" i="3"/>
  <c r="K415" i="3"/>
  <c r="K413" i="3"/>
  <c r="J417" i="3"/>
  <c r="J416" i="3"/>
  <c r="J415" i="3"/>
  <c r="J413" i="3"/>
  <c r="H417" i="3"/>
  <c r="J388" i="4"/>
  <c r="H388" i="4"/>
  <c r="H387" i="4"/>
  <c r="I387" i="4" s="1"/>
  <c r="I29" i="1" s="1"/>
  <c r="I16" i="32" s="1"/>
  <c r="H386" i="4"/>
  <c r="H385" i="4"/>
  <c r="H66" i="1" s="1"/>
  <c r="I20" i="35" l="1"/>
  <c r="K20" i="33"/>
  <c r="H29" i="1"/>
  <c r="H16" i="32" s="1"/>
  <c r="L388" i="4"/>
  <c r="L387" i="4"/>
  <c r="L29" i="1" s="1"/>
  <c r="L384" i="4"/>
  <c r="K388" i="4"/>
  <c r="K387" i="4"/>
  <c r="K29" i="1" s="1"/>
  <c r="K386" i="4"/>
  <c r="J387" i="4"/>
  <c r="J386" i="4"/>
  <c r="M386" i="4" s="1"/>
  <c r="N386" i="4" s="1"/>
  <c r="O386" i="4" s="1"/>
  <c r="J384" i="4"/>
  <c r="M384" i="4" s="1"/>
  <c r="K384" i="4"/>
  <c r="J29" i="1" l="1"/>
  <c r="J16" i="32" s="1"/>
  <c r="M387" i="4"/>
  <c r="O387" i="4" s="1"/>
  <c r="J66" i="1"/>
  <c r="J56" i="1"/>
  <c r="K66" i="1"/>
  <c r="K56" i="1"/>
  <c r="L66" i="1"/>
  <c r="L56" i="1"/>
  <c r="H361" i="4"/>
  <c r="H386" i="3"/>
  <c r="H385" i="3"/>
  <c r="H384" i="3"/>
  <c r="I361" i="4"/>
  <c r="H391" i="3"/>
  <c r="H390" i="3"/>
  <c r="S388" i="3"/>
  <c r="T388" i="3"/>
  <c r="I384" i="3"/>
  <c r="S382" i="3"/>
  <c r="T382" i="3"/>
  <c r="Q376" i="3"/>
  <c r="R376" i="3"/>
  <c r="S376" i="3"/>
  <c r="T376" i="3"/>
  <c r="L393" i="3"/>
  <c r="L392" i="3"/>
  <c r="L391" i="3"/>
  <c r="L390" i="3"/>
  <c r="L389" i="3"/>
  <c r="L387" i="3"/>
  <c r="L386" i="3"/>
  <c r="L385" i="3"/>
  <c r="L384" i="3"/>
  <c r="L354" i="4"/>
  <c r="L383" i="3"/>
  <c r="K393" i="3"/>
  <c r="K392" i="3"/>
  <c r="K391" i="3"/>
  <c r="K390" i="3"/>
  <c r="K389" i="3"/>
  <c r="K387" i="3"/>
  <c r="K386" i="3"/>
  <c r="K385" i="3"/>
  <c r="K384" i="3"/>
  <c r="K383" i="3"/>
  <c r="I413" i="3"/>
  <c r="I414" i="3"/>
  <c r="J393" i="3"/>
  <c r="J392" i="3"/>
  <c r="J391" i="3"/>
  <c r="J390" i="3"/>
  <c r="J389" i="3"/>
  <c r="I389" i="3"/>
  <c r="J387" i="3"/>
  <c r="J386" i="3"/>
  <c r="J385" i="3"/>
  <c r="J384" i="3"/>
  <c r="J383" i="3"/>
  <c r="I415" i="3"/>
  <c r="I417" i="3"/>
  <c r="I390" i="3"/>
  <c r="I396" i="3" s="1"/>
  <c r="I391" i="3"/>
  <c r="I392" i="3"/>
  <c r="I385" i="3"/>
  <c r="I386" i="3"/>
  <c r="I387" i="3"/>
  <c r="I399" i="3" s="1"/>
  <c r="I405" i="3" s="1"/>
  <c r="I383" i="3"/>
  <c r="I382" i="3" s="1"/>
  <c r="I380" i="3"/>
  <c r="H412" i="3"/>
  <c r="H395" i="3"/>
  <c r="H401" i="3" s="1"/>
  <c r="H396" i="3"/>
  <c r="H402" i="3" s="1"/>
  <c r="H397" i="3"/>
  <c r="H403" i="3" s="1"/>
  <c r="H399" i="3"/>
  <c r="H405" i="3" s="1"/>
  <c r="H418" i="3"/>
  <c r="I418" i="3"/>
  <c r="H406" i="3"/>
  <c r="I406" i="3"/>
  <c r="H388" i="3"/>
  <c r="H382" i="3"/>
  <c r="H380" i="3"/>
  <c r="H376" i="3" s="1"/>
  <c r="I376" i="3"/>
  <c r="K364" i="4"/>
  <c r="K363" i="4"/>
  <c r="K362" i="4"/>
  <c r="K361" i="4"/>
  <c r="K360" i="4"/>
  <c r="J364" i="4"/>
  <c r="J363" i="4"/>
  <c r="J362" i="4"/>
  <c r="J361" i="4"/>
  <c r="J360" i="4"/>
  <c r="L358" i="4"/>
  <c r="L357" i="4"/>
  <c r="L356" i="4"/>
  <c r="L355" i="4"/>
  <c r="K355" i="4"/>
  <c r="K358" i="4"/>
  <c r="J358" i="4"/>
  <c r="K357" i="4"/>
  <c r="K356" i="4"/>
  <c r="M383" i="4" l="1"/>
  <c r="M395" i="4" s="1"/>
  <c r="O383" i="4"/>
  <c r="O395" i="4" s="1"/>
  <c r="Q16" i="33" s="1"/>
  <c r="N383" i="4"/>
  <c r="N395" i="4" s="1"/>
  <c r="P16" i="33" s="1"/>
  <c r="I68" i="2"/>
  <c r="H398" i="3"/>
  <c r="H424" i="3"/>
  <c r="J16" i="35"/>
  <c r="I398" i="3"/>
  <c r="I404" i="3" s="1"/>
  <c r="I397" i="3"/>
  <c r="I395" i="3"/>
  <c r="I412" i="3"/>
  <c r="J381" i="3"/>
  <c r="H394" i="3"/>
  <c r="J380" i="3"/>
  <c r="J378" i="3"/>
  <c r="I402" i="3"/>
  <c r="J379" i="3"/>
  <c r="I403" i="3"/>
  <c r="J377" i="3"/>
  <c r="I394" i="3"/>
  <c r="I401" i="3"/>
  <c r="I388" i="3"/>
  <c r="J355" i="4"/>
  <c r="K354" i="4"/>
  <c r="I424" i="3" l="1"/>
  <c r="K16" i="35"/>
  <c r="H404" i="3"/>
  <c r="H400" i="3" s="1"/>
  <c r="I400" i="3"/>
  <c r="I385" i="4"/>
  <c r="I386" i="4"/>
  <c r="I388" i="4"/>
  <c r="I384" i="4"/>
  <c r="I66" i="1" l="1"/>
  <c r="I56" i="1"/>
  <c r="J357" i="4"/>
  <c r="J356" i="4"/>
  <c r="J354" i="4"/>
  <c r="J352" i="4"/>
  <c r="J370" i="4" s="1"/>
  <c r="K352" i="4" s="1"/>
  <c r="K370" i="4" s="1"/>
  <c r="L352" i="4" s="1"/>
  <c r="G385" i="4"/>
  <c r="G386" i="4"/>
  <c r="G387" i="4"/>
  <c r="G384" i="4"/>
  <c r="I377" i="4"/>
  <c r="I376" i="4"/>
  <c r="I369" i="4"/>
  <c r="J351" i="4" s="1"/>
  <c r="J369" i="4" s="1"/>
  <c r="K351" i="4" s="1"/>
  <c r="K369" i="4" s="1"/>
  <c r="L351" i="4" s="1"/>
  <c r="I355" i="4"/>
  <c r="I367" i="4" s="1"/>
  <c r="J349" i="4" s="1"/>
  <c r="J367" i="4" s="1"/>
  <c r="I354" i="4"/>
  <c r="I366" i="4" s="1"/>
  <c r="J348" i="4" s="1"/>
  <c r="I359" i="4"/>
  <c r="I356" i="4"/>
  <c r="I368" i="4" s="1"/>
  <c r="J350" i="4" s="1"/>
  <c r="J368" i="4" s="1"/>
  <c r="K350" i="4" s="1"/>
  <c r="K368" i="4" s="1"/>
  <c r="L350" i="4" s="1"/>
  <c r="D376" i="4"/>
  <c r="I353" i="4" l="1"/>
  <c r="K376" i="4"/>
  <c r="K374" i="4"/>
  <c r="K375" i="4"/>
  <c r="I365" i="4"/>
  <c r="I375" i="4"/>
  <c r="I374" i="4"/>
  <c r="I373" i="4"/>
  <c r="I372" i="4"/>
  <c r="J347" i="4"/>
  <c r="I383" i="4"/>
  <c r="I395" i="4" l="1"/>
  <c r="I16" i="35"/>
  <c r="K16" i="33"/>
  <c r="I371" i="4"/>
  <c r="H383" i="4" l="1"/>
  <c r="H377" i="4"/>
  <c r="H366" i="4"/>
  <c r="H367" i="4"/>
  <c r="H368" i="4"/>
  <c r="H369" i="4"/>
  <c r="H359" i="4"/>
  <c r="H353" i="4"/>
  <c r="H347" i="4"/>
  <c r="I347" i="4"/>
  <c r="H374" i="4" l="1"/>
  <c r="H372" i="4"/>
  <c r="H373" i="4"/>
  <c r="H375" i="4"/>
  <c r="H395" i="4"/>
  <c r="J16" i="33"/>
  <c r="H365" i="4"/>
  <c r="H371" i="4"/>
  <c r="H19" i="3" l="1"/>
  <c r="H32" i="3" s="1"/>
  <c r="I19" i="3"/>
  <c r="I32" i="3" s="1"/>
  <c r="J19" i="3"/>
  <c r="J32" i="3" s="1"/>
  <c r="K19" i="3"/>
  <c r="K32" i="3" s="1"/>
  <c r="L19" i="3"/>
  <c r="L32" i="3" s="1"/>
  <c r="J57" i="4"/>
  <c r="K57" i="4"/>
  <c r="L57" i="4"/>
  <c r="J48" i="4"/>
  <c r="H57" i="4"/>
  <c r="I56" i="4"/>
  <c r="I57" i="4" s="1"/>
  <c r="I52" i="4"/>
  <c r="I48" i="4"/>
  <c r="M48" i="4" s="1"/>
  <c r="M49" i="4" s="1"/>
  <c r="I44" i="4"/>
  <c r="M44" i="4" s="1"/>
  <c r="M45" i="4" s="1"/>
  <c r="I40" i="4"/>
  <c r="M40" i="4" s="1"/>
  <c r="M41" i="4" s="1"/>
  <c r="I28" i="4"/>
  <c r="I32" i="4"/>
  <c r="M32" i="4" s="1"/>
  <c r="M33" i="4" s="1"/>
  <c r="I24" i="4"/>
  <c r="I20" i="4"/>
  <c r="I16" i="4"/>
  <c r="G17" i="4"/>
  <c r="H15" i="4"/>
  <c r="K12" i="2" l="1"/>
  <c r="K12" i="44"/>
  <c r="I12" i="2"/>
  <c r="I12" i="44"/>
  <c r="L12" i="2"/>
  <c r="L12" i="44"/>
  <c r="J12" i="2"/>
  <c r="J12" i="44"/>
  <c r="H12" i="2"/>
  <c r="H12" i="44"/>
  <c r="I53" i="4"/>
  <c r="M52" i="4"/>
  <c r="M53" i="4" s="1"/>
  <c r="M66" i="4" s="1"/>
  <c r="B22" i="38"/>
  <c r="B13" i="38"/>
  <c r="B21" i="38"/>
  <c r="B20" i="38"/>
  <c r="B14" i="38"/>
  <c r="M12" i="1" l="1"/>
  <c r="M11" i="1" s="1"/>
  <c r="K9" i="32" s="1"/>
  <c r="M96" i="4"/>
  <c r="J11" i="37"/>
  <c r="J236" i="3"/>
  <c r="H235" i="3"/>
  <c r="H237" i="3" s="1"/>
  <c r="J232" i="3"/>
  <c r="H231" i="3"/>
  <c r="H233" i="3" s="1"/>
  <c r="J228" i="3"/>
  <c r="H227" i="3"/>
  <c r="H229" i="3" s="1"/>
  <c r="H238" i="3" s="1"/>
  <c r="J217" i="4"/>
  <c r="H216" i="4"/>
  <c r="H218" i="4" s="1"/>
  <c r="H219" i="4" s="1"/>
  <c r="J208" i="4"/>
  <c r="K208" i="4" s="1"/>
  <c r="L208" i="4" s="1"/>
  <c r="I170" i="4"/>
  <c r="I172" i="4" s="1"/>
  <c r="I174" i="4" s="1"/>
  <c r="I177" i="4" s="1"/>
  <c r="I7" i="30" s="1"/>
  <c r="H170" i="4"/>
  <c r="H172" i="4" s="1"/>
  <c r="H19" i="2" l="1"/>
  <c r="H19" i="44"/>
  <c r="I227" i="3"/>
  <c r="I229" i="3" s="1"/>
  <c r="I231" i="3"/>
  <c r="I235" i="3"/>
  <c r="J227" i="3"/>
  <c r="K227" i="3" s="1"/>
  <c r="L227" i="3" s="1"/>
  <c r="H19" i="1"/>
  <c r="H8" i="30"/>
  <c r="H17" i="1"/>
  <c r="H7" i="34" s="1"/>
  <c r="H174" i="4"/>
  <c r="H177" i="4" s="1"/>
  <c r="H7" i="30" s="1"/>
  <c r="I17" i="1"/>
  <c r="I7" i="34" s="1"/>
  <c r="I210" i="4"/>
  <c r="I216" i="4"/>
  <c r="I34" i="1"/>
  <c r="J34" i="1"/>
  <c r="K34" i="1"/>
  <c r="L34" i="1"/>
  <c r="B11" i="38"/>
  <c r="B10" i="38"/>
  <c r="H321" i="4" s="1"/>
  <c r="B5" i="38"/>
  <c r="I233" i="3" l="1"/>
  <c r="J231" i="3"/>
  <c r="K231" i="3" s="1"/>
  <c r="L231" i="3" s="1"/>
  <c r="I237" i="3"/>
  <c r="J235" i="3"/>
  <c r="K235" i="3" s="1"/>
  <c r="L235" i="3" s="1"/>
  <c r="I218" i="4"/>
  <c r="J216" i="4"/>
  <c r="K216" i="4" s="1"/>
  <c r="I219" i="4"/>
  <c r="H34" i="1"/>
  <c r="B12" i="38"/>
  <c r="H36" i="2"/>
  <c r="I238" i="3" l="1"/>
  <c r="K212" i="4"/>
  <c r="I19" i="1"/>
  <c r="I8" i="30"/>
  <c r="L216" i="4"/>
  <c r="K12" i="37"/>
  <c r="L12" i="37" s="1"/>
  <c r="K13" i="37"/>
  <c r="L13" i="37" s="1"/>
  <c r="K16" i="37"/>
  <c r="L16" i="37" s="1"/>
  <c r="O16" i="37" s="1"/>
  <c r="K19" i="37"/>
  <c r="L19" i="37" s="1"/>
  <c r="K20" i="37"/>
  <c r="L20" i="37" s="1"/>
  <c r="K32" i="37"/>
  <c r="L32" i="37" s="1"/>
  <c r="K34" i="37"/>
  <c r="L34" i="37" s="1"/>
  <c r="K38" i="37"/>
  <c r="L38" i="37" s="1"/>
  <c r="K41" i="37"/>
  <c r="L41" i="37" s="1"/>
  <c r="O41" i="37" s="1"/>
  <c r="K50" i="37"/>
  <c r="L50" i="37" s="1"/>
  <c r="K51" i="37"/>
  <c r="K52" i="37"/>
  <c r="K53" i="37"/>
  <c r="K54" i="37"/>
  <c r="K55" i="37"/>
  <c r="K56" i="37"/>
  <c r="J42" i="37"/>
  <c r="K42" i="37" s="1"/>
  <c r="L42" i="37" s="1"/>
  <c r="K24" i="37"/>
  <c r="L24" i="37" s="1"/>
  <c r="J28" i="37"/>
  <c r="K28" i="37" s="1"/>
  <c r="L28" i="37" s="1"/>
  <c r="O28" i="37" s="1"/>
  <c r="J29" i="37"/>
  <c r="K29" i="37" s="1"/>
  <c r="L29" i="37" s="1"/>
  <c r="O29" i="37" s="1"/>
  <c r="J30" i="37"/>
  <c r="K30" i="37" s="1"/>
  <c r="L30" i="37" s="1"/>
  <c r="J33" i="37"/>
  <c r="K33" i="37" s="1"/>
  <c r="L33" i="37" s="1"/>
  <c r="O33" i="37" s="1"/>
  <c r="J35" i="37"/>
  <c r="K35" i="37" s="1"/>
  <c r="L35" i="37" s="1"/>
  <c r="J43" i="37"/>
  <c r="K43" i="37" s="1"/>
  <c r="L43" i="37" s="1"/>
  <c r="J36" i="37"/>
  <c r="K36" i="37" s="1"/>
  <c r="L36" i="37" s="1"/>
  <c r="J39" i="37"/>
  <c r="K39" i="37" s="1"/>
  <c r="L39" i="37" s="1"/>
  <c r="K8" i="37"/>
  <c r="L8" i="37" s="1"/>
  <c r="I19" i="2" l="1"/>
  <c r="I19" i="44"/>
  <c r="L212" i="4"/>
  <c r="F67" i="37"/>
  <c r="Q57" i="37"/>
  <c r="Q63" i="37" s="1"/>
  <c r="F57" i="37"/>
  <c r="D57" i="37"/>
  <c r="G56" i="37"/>
  <c r="L56" i="37" s="1"/>
  <c r="G55" i="37"/>
  <c r="L55" i="37" s="1"/>
  <c r="G54" i="37"/>
  <c r="L54" i="37" s="1"/>
  <c r="G53" i="37"/>
  <c r="L53" i="37" s="1"/>
  <c r="H52" i="37"/>
  <c r="I52" i="37" s="1"/>
  <c r="G52" i="37"/>
  <c r="H51" i="37"/>
  <c r="I51" i="37" s="1"/>
  <c r="E51" i="37"/>
  <c r="G51" i="37" s="1"/>
  <c r="H50" i="37"/>
  <c r="I50" i="37" s="1"/>
  <c r="E50" i="37"/>
  <c r="G50" i="37" s="1"/>
  <c r="M50" i="37" s="1"/>
  <c r="N50" i="37" s="1"/>
  <c r="J49" i="37"/>
  <c r="K49" i="37" s="1"/>
  <c r="L49" i="37" s="1"/>
  <c r="O49" i="37" s="1"/>
  <c r="H49" i="37"/>
  <c r="I49" i="37" s="1"/>
  <c r="G49" i="37"/>
  <c r="M49" i="37" s="1"/>
  <c r="N49" i="37" s="1"/>
  <c r="J46" i="37"/>
  <c r="K46" i="37" s="1"/>
  <c r="L46" i="37" s="1"/>
  <c r="H46" i="37"/>
  <c r="I46" i="37" s="1"/>
  <c r="E46" i="37"/>
  <c r="G46" i="37" s="1"/>
  <c r="M46" i="37" s="1"/>
  <c r="N46" i="37" s="1"/>
  <c r="H43" i="37"/>
  <c r="I43" i="37" s="1"/>
  <c r="E43" i="37"/>
  <c r="G43" i="37" s="1"/>
  <c r="M43" i="37" s="1"/>
  <c r="N43" i="37" s="1"/>
  <c r="H42" i="37"/>
  <c r="I42" i="37" s="1"/>
  <c r="G42" i="37"/>
  <c r="M42" i="37" s="1"/>
  <c r="N42" i="37" s="1"/>
  <c r="H41" i="37"/>
  <c r="I41" i="37" s="1"/>
  <c r="E41" i="37"/>
  <c r="G41" i="37" s="1"/>
  <c r="M41" i="37" s="1"/>
  <c r="N41" i="37" s="1"/>
  <c r="J40" i="37"/>
  <c r="K40" i="37" s="1"/>
  <c r="L40" i="37" s="1"/>
  <c r="O40" i="37" s="1"/>
  <c r="H40" i="37"/>
  <c r="I40" i="37" s="1"/>
  <c r="E40" i="37"/>
  <c r="G40" i="37" s="1"/>
  <c r="M40" i="37" s="1"/>
  <c r="N40" i="37" s="1"/>
  <c r="H39" i="37"/>
  <c r="I39" i="37" s="1"/>
  <c r="E39" i="37"/>
  <c r="G39" i="37" s="1"/>
  <c r="M39" i="37" s="1"/>
  <c r="N39" i="37" s="1"/>
  <c r="M38" i="37"/>
  <c r="N38" i="37" s="1"/>
  <c r="H38" i="37"/>
  <c r="I38" i="37" s="1"/>
  <c r="G38" i="37"/>
  <c r="J37" i="37"/>
  <c r="K37" i="37" s="1"/>
  <c r="L37" i="37" s="1"/>
  <c r="H37" i="37"/>
  <c r="I37" i="37" s="1"/>
  <c r="E37" i="37"/>
  <c r="G37" i="37" s="1"/>
  <c r="M37" i="37" s="1"/>
  <c r="N37" i="37" s="1"/>
  <c r="H36" i="37"/>
  <c r="I36" i="37" s="1"/>
  <c r="E36" i="37"/>
  <c r="G36" i="37" s="1"/>
  <c r="M36" i="37" s="1"/>
  <c r="N36" i="37" s="1"/>
  <c r="H35" i="37"/>
  <c r="I35" i="37" s="1"/>
  <c r="E35" i="37"/>
  <c r="G35" i="37" s="1"/>
  <c r="M35" i="37" s="1"/>
  <c r="N35" i="37" s="1"/>
  <c r="H34" i="37"/>
  <c r="I34" i="37" s="1"/>
  <c r="E34" i="37"/>
  <c r="G34" i="37" s="1"/>
  <c r="M34" i="37" s="1"/>
  <c r="N34" i="37" s="1"/>
  <c r="H33" i="37"/>
  <c r="I33" i="37" s="1"/>
  <c r="E33" i="37"/>
  <c r="G33" i="37" s="1"/>
  <c r="M33" i="37" s="1"/>
  <c r="N33" i="37" s="1"/>
  <c r="H32" i="37"/>
  <c r="I32" i="37" s="1"/>
  <c r="G32" i="37"/>
  <c r="M32" i="37" s="1"/>
  <c r="N32" i="37" s="1"/>
  <c r="J31" i="37"/>
  <c r="K31" i="37" s="1"/>
  <c r="L31" i="37" s="1"/>
  <c r="O31" i="37" s="1"/>
  <c r="H31" i="37"/>
  <c r="I31" i="37" s="1"/>
  <c r="E31" i="37"/>
  <c r="G31" i="37" s="1"/>
  <c r="M31" i="37" s="1"/>
  <c r="N31" i="37" s="1"/>
  <c r="H30" i="37"/>
  <c r="I30" i="37" s="1"/>
  <c r="E30" i="37"/>
  <c r="G30" i="37" s="1"/>
  <c r="M30" i="37" s="1"/>
  <c r="N30" i="37" s="1"/>
  <c r="H29" i="37"/>
  <c r="I29" i="37" s="1"/>
  <c r="G29" i="37"/>
  <c r="M29" i="37" s="1"/>
  <c r="N29" i="37" s="1"/>
  <c r="H28" i="37"/>
  <c r="I28" i="37" s="1"/>
  <c r="E28" i="37"/>
  <c r="G28" i="37" s="1"/>
  <c r="M28" i="37" s="1"/>
  <c r="N28" i="37" s="1"/>
  <c r="J27" i="37"/>
  <c r="K27" i="37" s="1"/>
  <c r="L27" i="37" s="1"/>
  <c r="H27" i="37"/>
  <c r="I27" i="37" s="1"/>
  <c r="J26" i="37"/>
  <c r="K26" i="37" s="1"/>
  <c r="H26" i="37"/>
  <c r="I26" i="37" s="1"/>
  <c r="G26" i="37"/>
  <c r="J25" i="37"/>
  <c r="K25" i="37" s="1"/>
  <c r="L25" i="37" s="1"/>
  <c r="H25" i="37"/>
  <c r="I25" i="37" s="1"/>
  <c r="G25" i="37"/>
  <c r="M25" i="37" s="1"/>
  <c r="N25" i="37" s="1"/>
  <c r="H24" i="37"/>
  <c r="I24" i="37" s="1"/>
  <c r="G24" i="37"/>
  <c r="M24" i="37" s="1"/>
  <c r="N24" i="37" s="1"/>
  <c r="J23" i="37"/>
  <c r="K23" i="37" s="1"/>
  <c r="H23" i="37"/>
  <c r="I23" i="37" s="1"/>
  <c r="E23" i="37"/>
  <c r="G23" i="37" s="1"/>
  <c r="J22" i="37"/>
  <c r="K22" i="37" s="1"/>
  <c r="H22" i="37"/>
  <c r="I22" i="37" s="1"/>
  <c r="E22" i="37"/>
  <c r="G22" i="37" s="1"/>
  <c r="J21" i="37"/>
  <c r="K21" i="37" s="1"/>
  <c r="L21" i="37" s="1"/>
  <c r="H21" i="37"/>
  <c r="I21" i="37" s="1"/>
  <c r="E21" i="37"/>
  <c r="G21" i="37" s="1"/>
  <c r="M21" i="37" s="1"/>
  <c r="N21" i="37" s="1"/>
  <c r="M20" i="37"/>
  <c r="N20" i="37" s="1"/>
  <c r="H20" i="37"/>
  <c r="I20" i="37" s="1"/>
  <c r="E20" i="37"/>
  <c r="G20" i="37" s="1"/>
  <c r="M19" i="37"/>
  <c r="N19" i="37" s="1"/>
  <c r="H19" i="37"/>
  <c r="I19" i="37" s="1"/>
  <c r="G19" i="37"/>
  <c r="J18" i="37"/>
  <c r="K18" i="37" s="1"/>
  <c r="H18" i="37"/>
  <c r="I18" i="37" s="1"/>
  <c r="E18" i="37"/>
  <c r="G18" i="37" s="1"/>
  <c r="J17" i="37"/>
  <c r="H17" i="37"/>
  <c r="I17" i="37" s="1"/>
  <c r="E17" i="37"/>
  <c r="G17" i="37" s="1"/>
  <c r="H16" i="37"/>
  <c r="I16" i="37" s="1"/>
  <c r="G16" i="37"/>
  <c r="M16" i="37" s="1"/>
  <c r="N16" i="37" s="1"/>
  <c r="H14" i="37"/>
  <c r="I14" i="37" s="1"/>
  <c r="M14" i="37"/>
  <c r="N14" i="37" s="1"/>
  <c r="M13" i="37"/>
  <c r="N13" i="37" s="1"/>
  <c r="H13" i="37"/>
  <c r="I13" i="37" s="1"/>
  <c r="G13" i="37"/>
  <c r="M12" i="37"/>
  <c r="N12" i="37" s="1"/>
  <c r="H12" i="37"/>
  <c r="I12" i="37" s="1"/>
  <c r="G12" i="37"/>
  <c r="K11" i="37"/>
  <c r="L11" i="37" s="1"/>
  <c r="H11" i="37"/>
  <c r="I11" i="37" s="1"/>
  <c r="E11" i="37"/>
  <c r="G11" i="37" s="1"/>
  <c r="J10" i="37"/>
  <c r="K10" i="37" s="1"/>
  <c r="L10" i="37" s="1"/>
  <c r="H10" i="37"/>
  <c r="I10" i="37" s="1"/>
  <c r="E10" i="37"/>
  <c r="G10" i="37" s="1"/>
  <c r="J9" i="37"/>
  <c r="H9" i="37"/>
  <c r="I9" i="37" s="1"/>
  <c r="G9" i="37"/>
  <c r="E9" i="37"/>
  <c r="H8" i="37"/>
  <c r="H57" i="37" s="1"/>
  <c r="E8" i="37"/>
  <c r="K17" i="37" l="1"/>
  <c r="L17" i="37" s="1"/>
  <c r="M17" i="37" s="1"/>
  <c r="N17" i="37" s="1"/>
  <c r="L23" i="37"/>
  <c r="M23" i="37" s="1"/>
  <c r="N23" i="37" s="1"/>
  <c r="O23" i="37"/>
  <c r="L26" i="37"/>
  <c r="M27" i="37"/>
  <c r="N27" i="37" s="1"/>
  <c r="O27" i="37"/>
  <c r="L18" i="37"/>
  <c r="M18" i="37" s="1"/>
  <c r="N18" i="37" s="1"/>
  <c r="O18" i="37"/>
  <c r="M22" i="37"/>
  <c r="N22" i="37" s="1"/>
  <c r="L22" i="37"/>
  <c r="O22" i="37"/>
  <c r="E57" i="37"/>
  <c r="E63" i="37" s="1"/>
  <c r="M10" i="37"/>
  <c r="N10" i="37" s="1"/>
  <c r="M11" i="37"/>
  <c r="N11" i="37" s="1"/>
  <c r="M26" i="37"/>
  <c r="N26" i="37" s="1"/>
  <c r="K9" i="37"/>
  <c r="O9" i="37" s="1"/>
  <c r="O57" i="37" s="1"/>
  <c r="J57" i="37"/>
  <c r="G8" i="37"/>
  <c r="G57" i="37" s="1"/>
  <c r="G64" i="37" s="1"/>
  <c r="I8" i="37"/>
  <c r="I57" i="37" s="1"/>
  <c r="I63" i="37" s="1"/>
  <c r="L51" i="37"/>
  <c r="M51" i="37" s="1"/>
  <c r="N51" i="37" s="1"/>
  <c r="L52" i="37"/>
  <c r="M52" i="37" s="1"/>
  <c r="N52" i="37" s="1"/>
  <c r="G63" i="37"/>
  <c r="I64" i="37"/>
  <c r="E64" i="37"/>
  <c r="H64" i="37"/>
  <c r="H63" i="37"/>
  <c r="G23" i="36"/>
  <c r="F23" i="36"/>
  <c r="E23" i="36"/>
  <c r="D23" i="36"/>
  <c r="G22" i="36"/>
  <c r="F22" i="36"/>
  <c r="E22" i="36"/>
  <c r="D22" i="36"/>
  <c r="G21" i="36"/>
  <c r="F21" i="36"/>
  <c r="E21" i="36"/>
  <c r="D21" i="36"/>
  <c r="G19" i="36"/>
  <c r="F19" i="36"/>
  <c r="E19" i="36"/>
  <c r="D19" i="36"/>
  <c r="G15" i="36"/>
  <c r="F15" i="36"/>
  <c r="E15" i="36"/>
  <c r="D15" i="36"/>
  <c r="G13" i="36"/>
  <c r="F13" i="36"/>
  <c r="E13" i="36"/>
  <c r="D13" i="36"/>
  <c r="G12" i="36"/>
  <c r="F12" i="36"/>
  <c r="E12" i="36"/>
  <c r="D12" i="36"/>
  <c r="G11" i="36"/>
  <c r="F11" i="36"/>
  <c r="E11" i="36"/>
  <c r="D11" i="36"/>
  <c r="G10" i="36"/>
  <c r="F10" i="36"/>
  <c r="E10" i="36"/>
  <c r="D10" i="36"/>
  <c r="G9" i="36"/>
  <c r="F9" i="36"/>
  <c r="E9" i="36"/>
  <c r="D9" i="36"/>
  <c r="G8" i="36"/>
  <c r="F8" i="36"/>
  <c r="E8" i="36"/>
  <c r="D8" i="36"/>
  <c r="N32" i="35"/>
  <c r="M32" i="35"/>
  <c r="L32" i="35"/>
  <c r="I32" i="35"/>
  <c r="H32" i="35"/>
  <c r="G32" i="35"/>
  <c r="F32" i="35"/>
  <c r="I23" i="35"/>
  <c r="H23" i="35"/>
  <c r="G23" i="35"/>
  <c r="F23" i="35"/>
  <c r="H20" i="35"/>
  <c r="H17" i="35" s="1"/>
  <c r="G20" i="35"/>
  <c r="G17" i="35" s="1"/>
  <c r="F20" i="35"/>
  <c r="F17" i="35" s="1"/>
  <c r="H16" i="35"/>
  <c r="G16" i="35"/>
  <c r="F16" i="35"/>
  <c r="H15" i="35"/>
  <c r="G15" i="35"/>
  <c r="F15" i="35"/>
  <c r="H13" i="35"/>
  <c r="G13" i="35"/>
  <c r="F13" i="35"/>
  <c r="H12" i="35"/>
  <c r="H7" i="35" s="1"/>
  <c r="H6" i="35" s="1"/>
  <c r="G12" i="35"/>
  <c r="F12" i="35"/>
  <c r="F7" i="35" s="1"/>
  <c r="G28" i="34"/>
  <c r="F28" i="34"/>
  <c r="E28" i="34"/>
  <c r="D28" i="34"/>
  <c r="G24" i="34"/>
  <c r="F24" i="34"/>
  <c r="E24" i="34"/>
  <c r="D24" i="34"/>
  <c r="L20" i="34"/>
  <c r="K20" i="34"/>
  <c r="J20" i="34"/>
  <c r="G20" i="34"/>
  <c r="F20" i="34"/>
  <c r="E20" i="34"/>
  <c r="D20" i="34"/>
  <c r="G19" i="34"/>
  <c r="F19" i="34"/>
  <c r="E19" i="34"/>
  <c r="D19" i="34"/>
  <c r="L17" i="34"/>
  <c r="K17" i="34"/>
  <c r="J17" i="34"/>
  <c r="G17" i="34"/>
  <c r="F17" i="34"/>
  <c r="E17" i="34"/>
  <c r="D17" i="34"/>
  <c r="G16" i="34"/>
  <c r="F16" i="34"/>
  <c r="E16" i="34"/>
  <c r="D16" i="34"/>
  <c r="G15" i="34"/>
  <c r="F15" i="34"/>
  <c r="E15" i="34"/>
  <c r="D15" i="34"/>
  <c r="L10" i="34"/>
  <c r="K10" i="34"/>
  <c r="J10" i="34"/>
  <c r="G10" i="34"/>
  <c r="F10" i="34"/>
  <c r="E10" i="34"/>
  <c r="D10" i="34"/>
  <c r="G8" i="34"/>
  <c r="F8" i="34"/>
  <c r="E8" i="34"/>
  <c r="D8" i="34"/>
  <c r="L7" i="34"/>
  <c r="K7" i="34"/>
  <c r="J7" i="34"/>
  <c r="G7" i="34"/>
  <c r="G29" i="34" s="1"/>
  <c r="F7" i="34"/>
  <c r="E7" i="34"/>
  <c r="E29" i="34" s="1"/>
  <c r="D7" i="34"/>
  <c r="I32" i="33"/>
  <c r="H32" i="33"/>
  <c r="G32" i="33"/>
  <c r="F32" i="33"/>
  <c r="I20" i="33"/>
  <c r="I17" i="33" s="1"/>
  <c r="H20" i="33"/>
  <c r="G20" i="33"/>
  <c r="G17" i="33" s="1"/>
  <c r="F20" i="33"/>
  <c r="H17" i="33"/>
  <c r="F17" i="33"/>
  <c r="I16" i="33"/>
  <c r="H16" i="33"/>
  <c r="G16" i="33"/>
  <c r="F16" i="33"/>
  <c r="I15" i="33"/>
  <c r="H15" i="33"/>
  <c r="G15" i="33"/>
  <c r="F15" i="33"/>
  <c r="I13" i="33"/>
  <c r="H13" i="33"/>
  <c r="G13" i="33"/>
  <c r="F13" i="33"/>
  <c r="I12" i="33"/>
  <c r="H12" i="33"/>
  <c r="G12" i="33"/>
  <c r="F12" i="33"/>
  <c r="I8" i="33"/>
  <c r="H8" i="33"/>
  <c r="H7" i="33" s="1"/>
  <c r="H6" i="33" s="1"/>
  <c r="G8" i="33"/>
  <c r="F8" i="33"/>
  <c r="F7" i="33" s="1"/>
  <c r="F22" i="32"/>
  <c r="E22" i="32"/>
  <c r="D22" i="32"/>
  <c r="F21" i="32"/>
  <c r="E21" i="32"/>
  <c r="D21" i="32"/>
  <c r="F20" i="32"/>
  <c r="E20" i="32"/>
  <c r="D20" i="32"/>
  <c r="G18" i="32"/>
  <c r="F18" i="32"/>
  <c r="E18" i="32"/>
  <c r="D18" i="32"/>
  <c r="G16" i="32"/>
  <c r="F16" i="32"/>
  <c r="E16" i="32"/>
  <c r="D16" i="32"/>
  <c r="G14" i="32"/>
  <c r="F14" i="32"/>
  <c r="E14" i="32"/>
  <c r="D14" i="32"/>
  <c r="G13" i="32"/>
  <c r="F13" i="32"/>
  <c r="E13" i="32"/>
  <c r="D13" i="32"/>
  <c r="G12" i="32"/>
  <c r="F12" i="32"/>
  <c r="E12" i="32"/>
  <c r="D12" i="32"/>
  <c r="G11" i="32"/>
  <c r="F11" i="32"/>
  <c r="E11" i="32"/>
  <c r="D11" i="32"/>
  <c r="G9" i="32"/>
  <c r="F9" i="32"/>
  <c r="E9" i="32"/>
  <c r="D9" i="32"/>
  <c r="G35" i="30"/>
  <c r="F35" i="30"/>
  <c r="E35" i="30"/>
  <c r="D35" i="30"/>
  <c r="G29" i="30"/>
  <c r="F29" i="30"/>
  <c r="E29" i="30"/>
  <c r="D29" i="30"/>
  <c r="L25" i="30"/>
  <c r="K25" i="30"/>
  <c r="J25" i="30"/>
  <c r="G25" i="30"/>
  <c r="F25" i="30"/>
  <c r="E25" i="30"/>
  <c r="D25" i="30"/>
  <c r="G24" i="30"/>
  <c r="F24" i="30"/>
  <c r="E24" i="30"/>
  <c r="D24" i="30"/>
  <c r="G23" i="30"/>
  <c r="E23" i="30"/>
  <c r="G22" i="30"/>
  <c r="E22" i="30"/>
  <c r="G21" i="30"/>
  <c r="F21" i="30"/>
  <c r="E21" i="30"/>
  <c r="D21" i="30"/>
  <c r="G20" i="30"/>
  <c r="F20" i="30"/>
  <c r="E20" i="30"/>
  <c r="D20" i="30"/>
  <c r="G19" i="30"/>
  <c r="F19" i="30"/>
  <c r="E19" i="30"/>
  <c r="D19" i="30"/>
  <c r="L12" i="30"/>
  <c r="K12" i="30"/>
  <c r="J12" i="30"/>
  <c r="G12" i="30"/>
  <c r="F12" i="30"/>
  <c r="E12" i="30"/>
  <c r="D12" i="30"/>
  <c r="G10" i="30"/>
  <c r="F10" i="30"/>
  <c r="E10" i="30"/>
  <c r="D10" i="30"/>
  <c r="G8" i="30"/>
  <c r="F8" i="30"/>
  <c r="E8" i="30"/>
  <c r="D8" i="30"/>
  <c r="G7" i="30"/>
  <c r="F7" i="30"/>
  <c r="E7" i="30"/>
  <c r="D7" i="30"/>
  <c r="O64" i="37" l="1"/>
  <c r="M27" i="2" s="1"/>
  <c r="O63" i="37"/>
  <c r="M26" i="1" s="1"/>
  <c r="K14" i="32" s="1"/>
  <c r="F6" i="35"/>
  <c r="F30" i="35" s="1"/>
  <c r="F31" i="35" s="1"/>
  <c r="F6" i="33"/>
  <c r="F30" i="33" s="1"/>
  <c r="F31" i="33" s="1"/>
  <c r="F21" i="35"/>
  <c r="F21" i="33"/>
  <c r="H30" i="33"/>
  <c r="H31" i="33" s="1"/>
  <c r="D25" i="36"/>
  <c r="F25" i="36"/>
  <c r="E36" i="30"/>
  <c r="G36" i="30"/>
  <c r="D24" i="32"/>
  <c r="F24" i="32"/>
  <c r="G7" i="35"/>
  <c r="G6" i="35" s="1"/>
  <c r="G7" i="33"/>
  <c r="I7" i="33"/>
  <c r="D36" i="30"/>
  <c r="F36" i="30"/>
  <c r="E24" i="32"/>
  <c r="D29" i="34"/>
  <c r="F29" i="34"/>
  <c r="E25" i="36"/>
  <c r="G25" i="36"/>
  <c r="J64" i="37"/>
  <c r="J63" i="37"/>
  <c r="H26" i="1" s="1"/>
  <c r="H14" i="32" s="1"/>
  <c r="L9" i="37"/>
  <c r="K57" i="37"/>
  <c r="M8" i="37"/>
  <c r="I6" i="33" l="1"/>
  <c r="I30" i="33" s="1"/>
  <c r="I31" i="33" s="1"/>
  <c r="G6" i="33"/>
  <c r="G30" i="33" s="1"/>
  <c r="G31" i="33" s="1"/>
  <c r="G33" i="33" s="1"/>
  <c r="H27" i="2"/>
  <c r="H27" i="44"/>
  <c r="G30" i="35"/>
  <c r="G31" i="35" s="1"/>
  <c r="G33" i="35" s="1"/>
  <c r="G21" i="35"/>
  <c r="H30" i="35"/>
  <c r="H31" i="35" s="1"/>
  <c r="H21" i="35"/>
  <c r="H21" i="33"/>
  <c r="J15" i="35"/>
  <c r="H13" i="36"/>
  <c r="I33" i="33"/>
  <c r="K63" i="37"/>
  <c r="I26" i="1" s="1"/>
  <c r="I14" i="32" s="1"/>
  <c r="K64" i="37"/>
  <c r="L57" i="37"/>
  <c r="L64" i="37" s="1"/>
  <c r="M9" i="37"/>
  <c r="N9" i="37" s="1"/>
  <c r="N8" i="37"/>
  <c r="G21" i="33" l="1"/>
  <c r="I21" i="33"/>
  <c r="J27" i="2"/>
  <c r="J27" i="44"/>
  <c r="I27" i="2"/>
  <c r="I13" i="36" s="1"/>
  <c r="I27" i="44"/>
  <c r="K15" i="35"/>
  <c r="L15" i="35"/>
  <c r="J13" i="36"/>
  <c r="N57" i="37"/>
  <c r="N64" i="37" s="1"/>
  <c r="L63" i="37"/>
  <c r="J26" i="1" s="1"/>
  <c r="J14" i="32" s="1"/>
  <c r="M57" i="37"/>
  <c r="M64" i="37" s="1"/>
  <c r="Y22" i="29"/>
  <c r="X22" i="29"/>
  <c r="V22" i="29"/>
  <c r="U22" i="29"/>
  <c r="S22" i="29"/>
  <c r="R22" i="29"/>
  <c r="S23" i="29"/>
  <c r="U23" i="29"/>
  <c r="I46" i="2"/>
  <c r="J51" i="2" l="1"/>
  <c r="J50" i="44"/>
  <c r="K51" i="2"/>
  <c r="K50" i="44"/>
  <c r="L51" i="2"/>
  <c r="L50" i="44"/>
  <c r="K27" i="2"/>
  <c r="K13" i="36" s="1"/>
  <c r="K27" i="44"/>
  <c r="L27" i="2"/>
  <c r="L13" i="36" s="1"/>
  <c r="L27" i="44"/>
  <c r="M15" i="35"/>
  <c r="N63" i="37"/>
  <c r="L26" i="1" s="1"/>
  <c r="M63" i="37"/>
  <c r="K26" i="1" s="1"/>
  <c r="K64" i="1"/>
  <c r="L64" i="1" s="1"/>
  <c r="J64" i="1"/>
  <c r="I49" i="1"/>
  <c r="I63" i="1"/>
  <c r="I65" i="1"/>
  <c r="I67" i="1"/>
  <c r="H44" i="1"/>
  <c r="Q13" i="29"/>
  <c r="Q15" i="29"/>
  <c r="J44" i="1" s="1"/>
  <c r="Q17" i="29"/>
  <c r="P40" i="29"/>
  <c r="W24" i="29"/>
  <c r="X24" i="29" s="1"/>
  <c r="Y24" i="29" s="1"/>
  <c r="T24" i="29"/>
  <c r="V24" i="29" s="1"/>
  <c r="S24" i="29"/>
  <c r="N15" i="35" l="1"/>
  <c r="I52" i="2"/>
  <c r="I51" i="44"/>
  <c r="I49" i="44" s="1"/>
  <c r="J44" i="2"/>
  <c r="J44" i="44"/>
  <c r="U24" i="29"/>
  <c r="J42" i="1"/>
  <c r="I22" i="32"/>
  <c r="G22" i="32"/>
  <c r="I29" i="30"/>
  <c r="I50" i="1"/>
  <c r="I48" i="1" s="1"/>
  <c r="J89" i="8"/>
  <c r="J88" i="8"/>
  <c r="J86" i="8"/>
  <c r="J85" i="8" s="1"/>
  <c r="J80" i="8"/>
  <c r="J77" i="8"/>
  <c r="J82" i="8"/>
  <c r="I91" i="8"/>
  <c r="H91" i="8"/>
  <c r="P24" i="29"/>
  <c r="O24" i="29"/>
  <c r="P21" i="29"/>
  <c r="P20" i="29" s="1"/>
  <c r="N13" i="29"/>
  <c r="M13" i="29"/>
  <c r="M15" i="29"/>
  <c r="N73" i="29" l="1"/>
  <c r="Q73" i="29" s="1"/>
  <c r="Q72" i="29"/>
  <c r="R71" i="29"/>
  <c r="R73" i="29" s="1"/>
  <c r="L62" i="1"/>
  <c r="K62" i="1"/>
  <c r="J62" i="1"/>
  <c r="S53" i="29"/>
  <c r="R53" i="29"/>
  <c r="J61" i="1" s="1"/>
  <c r="I53" i="29"/>
  <c r="G53" i="29"/>
  <c r="L53" i="29" s="1"/>
  <c r="O50" i="29"/>
  <c r="P50" i="29" s="1"/>
  <c r="Q50" i="29" s="1"/>
  <c r="H50" i="29"/>
  <c r="L50" i="29" s="1"/>
  <c r="O49" i="29"/>
  <c r="P49" i="29" s="1"/>
  <c r="Q49" i="29" s="1"/>
  <c r="H49" i="29"/>
  <c r="L49" i="29" s="1"/>
  <c r="F49" i="29"/>
  <c r="E49" i="29"/>
  <c r="O48" i="29"/>
  <c r="H48" i="29"/>
  <c r="L48" i="29" s="1"/>
  <c r="F48" i="29"/>
  <c r="E48" i="29"/>
  <c r="O47" i="29"/>
  <c r="P47" i="29" s="1"/>
  <c r="Q47" i="29" s="1"/>
  <c r="K47" i="29"/>
  <c r="J47" i="29"/>
  <c r="G47" i="29"/>
  <c r="H47" i="29" s="1"/>
  <c r="L47" i="29" s="1"/>
  <c r="D47" i="29"/>
  <c r="E47" i="29" s="1"/>
  <c r="O46" i="29"/>
  <c r="H55" i="44" s="1"/>
  <c r="I46" i="29"/>
  <c r="G46" i="29"/>
  <c r="H46" i="29" s="1"/>
  <c r="L46" i="29" s="1"/>
  <c r="E46" i="29"/>
  <c r="O45" i="29"/>
  <c r="H54" i="44" s="1"/>
  <c r="I45" i="29"/>
  <c r="G45" i="29"/>
  <c r="H45" i="29" s="1"/>
  <c r="L45" i="29" s="1"/>
  <c r="E45" i="29"/>
  <c r="O44" i="29"/>
  <c r="H53" i="44" s="1"/>
  <c r="I44" i="29"/>
  <c r="H44" i="29"/>
  <c r="L44" i="29" s="1"/>
  <c r="D44" i="29"/>
  <c r="E44" i="29" s="1"/>
  <c r="O43" i="29"/>
  <c r="H52" i="44" s="1"/>
  <c r="L43" i="29"/>
  <c r="M43" i="29" s="1"/>
  <c r="Y42" i="29"/>
  <c r="X42" i="29"/>
  <c r="W42" i="29"/>
  <c r="Q42" i="29"/>
  <c r="F42" i="29"/>
  <c r="E42" i="29"/>
  <c r="D42" i="29"/>
  <c r="O40" i="29"/>
  <c r="H51" i="44" s="1"/>
  <c r="H49" i="44" s="1"/>
  <c r="N40" i="29"/>
  <c r="M40" i="29"/>
  <c r="F40" i="29"/>
  <c r="D40" i="29"/>
  <c r="Y34" i="29"/>
  <c r="X34" i="29"/>
  <c r="W34" i="29"/>
  <c r="Q34" i="29"/>
  <c r="I34" i="29"/>
  <c r="G34" i="29"/>
  <c r="D34" i="29"/>
  <c r="Y31" i="29"/>
  <c r="X31" i="29"/>
  <c r="W31" i="29"/>
  <c r="Q31" i="29"/>
  <c r="I31" i="29"/>
  <c r="G31" i="29"/>
  <c r="D31" i="29"/>
  <c r="Y28" i="29"/>
  <c r="X28" i="29"/>
  <c r="W28" i="29"/>
  <c r="Q28" i="29"/>
  <c r="I28" i="29"/>
  <c r="G28" i="29"/>
  <c r="D28" i="29"/>
  <c r="Y25" i="29"/>
  <c r="X25" i="29"/>
  <c r="W25" i="29"/>
  <c r="Q25" i="29"/>
  <c r="I25" i="29"/>
  <c r="G25" i="29"/>
  <c r="D25" i="29"/>
  <c r="E25" i="29" s="1"/>
  <c r="M24" i="29"/>
  <c r="N24" i="29" s="1"/>
  <c r="K24" i="29"/>
  <c r="J24" i="29"/>
  <c r="G23" i="29"/>
  <c r="L22" i="29"/>
  <c r="L40" i="29" s="1"/>
  <c r="D22" i="29"/>
  <c r="S21" i="29"/>
  <c r="S40" i="29" s="1"/>
  <c r="R21" i="29"/>
  <c r="R40" i="29" s="1"/>
  <c r="N21" i="29"/>
  <c r="M21" i="29"/>
  <c r="M20" i="29" s="1"/>
  <c r="K21" i="29"/>
  <c r="K20" i="29" s="1"/>
  <c r="J21" i="29"/>
  <c r="G21" i="29"/>
  <c r="G40" i="29" s="1"/>
  <c r="G20" i="29" s="1"/>
  <c r="E21" i="29"/>
  <c r="S20" i="29"/>
  <c r="R20" i="29"/>
  <c r="N20" i="29"/>
  <c r="F20" i="29"/>
  <c r="E20" i="29"/>
  <c r="D20" i="29"/>
  <c r="K17" i="29"/>
  <c r="J17" i="29"/>
  <c r="H17" i="29"/>
  <c r="L17" i="29" s="1"/>
  <c r="N17" i="29" s="1"/>
  <c r="F17" i="29"/>
  <c r="E17" i="29"/>
  <c r="O16" i="29"/>
  <c r="H47" i="44" s="1"/>
  <c r="I16" i="29"/>
  <c r="H16" i="29"/>
  <c r="L16" i="29" s="1"/>
  <c r="I15" i="29"/>
  <c r="G15" i="29"/>
  <c r="E44" i="1" s="1"/>
  <c r="O14" i="29"/>
  <c r="H45" i="44" s="1"/>
  <c r="K14" i="29"/>
  <c r="J14" i="29"/>
  <c r="G14" i="29"/>
  <c r="H14" i="29" s="1"/>
  <c r="L14" i="29" s="1"/>
  <c r="O13" i="29"/>
  <c r="H44" i="44" s="1"/>
  <c r="I13" i="29"/>
  <c r="G13" i="29"/>
  <c r="H13" i="29" s="1"/>
  <c r="L13" i="29" s="1"/>
  <c r="O12" i="29"/>
  <c r="H43" i="44" s="1"/>
  <c r="I12" i="29"/>
  <c r="G12" i="29"/>
  <c r="H12" i="29" s="1"/>
  <c r="L12" i="29" s="1"/>
  <c r="O11" i="29"/>
  <c r="H42" i="44" s="1"/>
  <c r="H41" i="44" s="1"/>
  <c r="I11" i="29"/>
  <c r="G11" i="29"/>
  <c r="H11" i="29" s="1"/>
  <c r="D11" i="29"/>
  <c r="K10" i="29"/>
  <c r="J10" i="29"/>
  <c r="I10" i="29"/>
  <c r="F10" i="29"/>
  <c r="F54" i="29" s="1"/>
  <c r="F55" i="29" s="1"/>
  <c r="E10" i="29"/>
  <c r="D10" i="29"/>
  <c r="D54" i="29" s="1"/>
  <c r="D55" i="29" s="1"/>
  <c r="I21" i="29" l="1"/>
  <c r="I20" i="29" s="1"/>
  <c r="J65" i="2"/>
  <c r="J23" i="36" s="1"/>
  <c r="J58" i="44"/>
  <c r="H58" i="2"/>
  <c r="H57" i="44"/>
  <c r="H56" i="44" s="1"/>
  <c r="H40" i="44" s="1"/>
  <c r="J52" i="2"/>
  <c r="J51" i="44"/>
  <c r="J49" i="44" s="1"/>
  <c r="H15" i="29"/>
  <c r="L15" i="29" s="1"/>
  <c r="J20" i="29"/>
  <c r="J54" i="29" s="1"/>
  <c r="J55" i="29" s="1"/>
  <c r="O20" i="29"/>
  <c r="H52" i="2"/>
  <c r="I47" i="29"/>
  <c r="E54" i="29"/>
  <c r="E55" i="29" s="1"/>
  <c r="J63" i="2"/>
  <c r="O10" i="29"/>
  <c r="O54" i="29" s="1"/>
  <c r="O55" i="29" s="1"/>
  <c r="H47" i="2"/>
  <c r="H45" i="1"/>
  <c r="P16" i="29"/>
  <c r="H43" i="2"/>
  <c r="H41" i="1"/>
  <c r="P12" i="29"/>
  <c r="I43" i="44" s="1"/>
  <c r="H53" i="2"/>
  <c r="H51" i="1"/>
  <c r="P43" i="29"/>
  <c r="I52" i="44" s="1"/>
  <c r="H42" i="2"/>
  <c r="H40" i="1"/>
  <c r="P11" i="29"/>
  <c r="I42" i="44" s="1"/>
  <c r="H44" i="2"/>
  <c r="H42" i="1"/>
  <c r="H45" i="2"/>
  <c r="H43" i="1"/>
  <c r="P14" i="29"/>
  <c r="I45" i="44" s="1"/>
  <c r="H54" i="2"/>
  <c r="H52" i="1"/>
  <c r="P44" i="29"/>
  <c r="I53" i="44" s="1"/>
  <c r="H55" i="2"/>
  <c r="H53" i="1"/>
  <c r="P45" i="29"/>
  <c r="I54" i="44" s="1"/>
  <c r="H56" i="2"/>
  <c r="H54" i="1"/>
  <c r="P46" i="29"/>
  <c r="I55" i="44" s="1"/>
  <c r="P48" i="29"/>
  <c r="H57" i="1"/>
  <c r="H55" i="1" s="1"/>
  <c r="G10" i="29"/>
  <c r="G54" i="29" s="1"/>
  <c r="G55" i="29" s="1"/>
  <c r="H10" i="29"/>
  <c r="L11" i="29"/>
  <c r="N15" i="29"/>
  <c r="N16" i="29"/>
  <c r="M16" i="29"/>
  <c r="I54" i="29"/>
  <c r="I55" i="29" s="1"/>
  <c r="K54" i="29"/>
  <c r="K55" i="29" s="1"/>
  <c r="M17" i="29"/>
  <c r="L21" i="29"/>
  <c r="L20" i="29" s="1"/>
  <c r="G22" i="29"/>
  <c r="M45" i="29"/>
  <c r="N45" i="29"/>
  <c r="N46" i="29"/>
  <c r="M46" i="29"/>
  <c r="N47" i="29"/>
  <c r="M47" i="29"/>
  <c r="M48" i="29"/>
  <c r="N48" i="29"/>
  <c r="Y53" i="29"/>
  <c r="X53" i="29"/>
  <c r="L61" i="1" s="1"/>
  <c r="N44" i="29"/>
  <c r="M44" i="29"/>
  <c r="M49" i="29"/>
  <c r="N49" i="29"/>
  <c r="M50" i="29"/>
  <c r="N50" i="29"/>
  <c r="M53" i="29"/>
  <c r="N53" i="29"/>
  <c r="N43" i="29"/>
  <c r="H53" i="29"/>
  <c r="V53" i="29"/>
  <c r="R72" i="29"/>
  <c r="U53" i="29"/>
  <c r="K61" i="1" s="1"/>
  <c r="K60" i="44" l="1"/>
  <c r="K58" i="44"/>
  <c r="L60" i="44"/>
  <c r="L58" i="44"/>
  <c r="I58" i="2"/>
  <c r="I57" i="44"/>
  <c r="I56" i="44" s="1"/>
  <c r="Z16" i="29"/>
  <c r="I47" i="44"/>
  <c r="I41" i="44" s="1"/>
  <c r="I40" i="44" s="1"/>
  <c r="K63" i="2"/>
  <c r="K65" i="2"/>
  <c r="K23" i="36" s="1"/>
  <c r="L63" i="2"/>
  <c r="L65" i="2"/>
  <c r="L23" i="36" s="1"/>
  <c r="H39" i="1"/>
  <c r="I57" i="2"/>
  <c r="I57" i="1"/>
  <c r="I55" i="1" s="1"/>
  <c r="Q48" i="29"/>
  <c r="T48" i="29" s="1"/>
  <c r="I56" i="2"/>
  <c r="Q46" i="29"/>
  <c r="Z46" i="29" s="1"/>
  <c r="I54" i="1"/>
  <c r="I54" i="2"/>
  <c r="Q44" i="29"/>
  <c r="S44" i="29" s="1"/>
  <c r="I52" i="1"/>
  <c r="M11" i="29"/>
  <c r="I42" i="2"/>
  <c r="P10" i="29"/>
  <c r="P54" i="29" s="1"/>
  <c r="P55" i="29" s="1"/>
  <c r="Q11" i="29"/>
  <c r="N11" i="29"/>
  <c r="M12" i="29"/>
  <c r="I43" i="2"/>
  <c r="Q12" i="29"/>
  <c r="R12" i="29" s="1"/>
  <c r="K43" i="44" s="1"/>
  <c r="N12" i="29"/>
  <c r="I55" i="2"/>
  <c r="I53" i="1"/>
  <c r="Q45" i="29"/>
  <c r="T45" i="29" s="1"/>
  <c r="N14" i="29"/>
  <c r="I45" i="2"/>
  <c r="Q14" i="29"/>
  <c r="J45" i="44" s="1"/>
  <c r="M14" i="29"/>
  <c r="I53" i="2"/>
  <c r="I51" i="1"/>
  <c r="Q43" i="29"/>
  <c r="I47" i="2"/>
  <c r="Q16" i="29"/>
  <c r="J45" i="1" s="1"/>
  <c r="T49" i="29"/>
  <c r="R49" i="29"/>
  <c r="S49" i="29"/>
  <c r="R48" i="29"/>
  <c r="S47" i="29"/>
  <c r="T47" i="29"/>
  <c r="R47" i="29"/>
  <c r="T13" i="29"/>
  <c r="R13" i="29"/>
  <c r="K44" i="44" s="1"/>
  <c r="S13" i="29"/>
  <c r="L10" i="29"/>
  <c r="L54" i="29" s="1"/>
  <c r="L55" i="29" s="1"/>
  <c r="T50" i="29"/>
  <c r="R50" i="29"/>
  <c r="S50" i="29"/>
  <c r="S46" i="29"/>
  <c r="R46" i="29"/>
  <c r="J54" i="1" s="1"/>
  <c r="R45" i="29"/>
  <c r="J53" i="1" s="1"/>
  <c r="T17" i="29"/>
  <c r="R17" i="29"/>
  <c r="I46" i="1" s="1"/>
  <c r="S17" i="29"/>
  <c r="S14" i="29"/>
  <c r="S12" i="29"/>
  <c r="R16" i="29"/>
  <c r="I45" i="1" s="1"/>
  <c r="T15" i="29"/>
  <c r="R15" i="29"/>
  <c r="I44" i="1" s="1"/>
  <c r="S15" i="29"/>
  <c r="H54" i="29"/>
  <c r="H55" i="29" s="1"/>
  <c r="T12" i="29" l="1"/>
  <c r="AA46" i="29"/>
  <c r="M54" i="1" s="1"/>
  <c r="AB46" i="29"/>
  <c r="M56" i="2" s="1"/>
  <c r="AA16" i="29"/>
  <c r="M45" i="1" s="1"/>
  <c r="AB16" i="29"/>
  <c r="M47" i="2" s="1"/>
  <c r="S45" i="29"/>
  <c r="J54" i="44" s="1"/>
  <c r="T46" i="29"/>
  <c r="U46" i="29" s="1"/>
  <c r="K54" i="1" s="1"/>
  <c r="S48" i="29"/>
  <c r="J46" i="2"/>
  <c r="J46" i="44"/>
  <c r="L43" i="2"/>
  <c r="L43" i="44"/>
  <c r="J56" i="2"/>
  <c r="J55" i="44"/>
  <c r="Z12" i="29"/>
  <c r="J43" i="44"/>
  <c r="Z11" i="29"/>
  <c r="AB11" i="29" s="1"/>
  <c r="M42" i="2" s="1"/>
  <c r="J42" i="44"/>
  <c r="L45" i="2"/>
  <c r="L45" i="44"/>
  <c r="J55" i="2"/>
  <c r="L44" i="2"/>
  <c r="L44" i="44"/>
  <c r="J58" i="2"/>
  <c r="J57" i="44"/>
  <c r="J56" i="44" s="1"/>
  <c r="T43" i="29"/>
  <c r="W43" i="29" s="1"/>
  <c r="Z43" i="29"/>
  <c r="J54" i="2"/>
  <c r="J53" i="44"/>
  <c r="K44" i="2"/>
  <c r="I42" i="1"/>
  <c r="R14" i="29"/>
  <c r="K45" i="44" s="1"/>
  <c r="Z14" i="29"/>
  <c r="M10" i="29"/>
  <c r="M54" i="29" s="1"/>
  <c r="M55" i="29" s="1"/>
  <c r="N10" i="29"/>
  <c r="N54" i="29" s="1"/>
  <c r="N55" i="29" s="1"/>
  <c r="S16" i="29"/>
  <c r="T44" i="29"/>
  <c r="W44" i="29" s="1"/>
  <c r="R43" i="29"/>
  <c r="J51" i="1" s="1"/>
  <c r="K43" i="2"/>
  <c r="I41" i="1"/>
  <c r="J45" i="2"/>
  <c r="J43" i="1"/>
  <c r="T16" i="29"/>
  <c r="U16" i="29" s="1"/>
  <c r="K45" i="1" s="1"/>
  <c r="T14" i="29"/>
  <c r="W14" i="29" s="1"/>
  <c r="J57" i="1"/>
  <c r="J55" i="1" s="1"/>
  <c r="R44" i="29"/>
  <c r="J52" i="1" s="1"/>
  <c r="S43" i="29"/>
  <c r="J43" i="2"/>
  <c r="J41" i="1"/>
  <c r="J42" i="2"/>
  <c r="J40" i="1"/>
  <c r="V15" i="29"/>
  <c r="W15" i="29"/>
  <c r="Z15" i="29" s="1"/>
  <c r="U15" i="29"/>
  <c r="K44" i="1" s="1"/>
  <c r="W16" i="29"/>
  <c r="V12" i="29"/>
  <c r="W12" i="29"/>
  <c r="U12" i="29"/>
  <c r="K41" i="1" s="1"/>
  <c r="V17" i="29"/>
  <c r="W17" i="29"/>
  <c r="U17" i="29"/>
  <c r="V13" i="29"/>
  <c r="W13" i="29"/>
  <c r="U13" i="29"/>
  <c r="K42" i="1" s="1"/>
  <c r="W47" i="29"/>
  <c r="U47" i="29"/>
  <c r="V47" i="29"/>
  <c r="V48" i="29"/>
  <c r="W48" i="29"/>
  <c r="U48" i="29"/>
  <c r="V49" i="29"/>
  <c r="W49" i="29"/>
  <c r="U49" i="29"/>
  <c r="V45" i="29"/>
  <c r="W45" i="29"/>
  <c r="U45" i="29"/>
  <c r="K53" i="1" s="1"/>
  <c r="W46" i="29"/>
  <c r="V46" i="29"/>
  <c r="V50" i="29"/>
  <c r="W50" i="29"/>
  <c r="Z50" i="29" s="1"/>
  <c r="U50" i="29"/>
  <c r="T11" i="29"/>
  <c r="R11" i="29"/>
  <c r="K42" i="44" s="1"/>
  <c r="Q10" i="29"/>
  <c r="S11" i="29"/>
  <c r="L42" i="44" s="1"/>
  <c r="V43" i="29"/>
  <c r="U43" i="29"/>
  <c r="K51" i="1" s="1"/>
  <c r="AB50" i="29" l="1"/>
  <c r="Z47" i="29"/>
  <c r="AA43" i="29"/>
  <c r="M51" i="1" s="1"/>
  <c r="AB43" i="29"/>
  <c r="M53" i="2" s="1"/>
  <c r="AA12" i="29"/>
  <c r="M41" i="1" s="1"/>
  <c r="AB12" i="29"/>
  <c r="M43" i="2" s="1"/>
  <c r="U14" i="29"/>
  <c r="K43" i="1" s="1"/>
  <c r="AA15" i="29"/>
  <c r="M44" i="1" s="1"/>
  <c r="AB15" i="29"/>
  <c r="AA14" i="29"/>
  <c r="M43" i="1" s="1"/>
  <c r="AB14" i="29"/>
  <c r="M45" i="2" s="1"/>
  <c r="U44" i="29"/>
  <c r="K52" i="1" s="1"/>
  <c r="AA50" i="29"/>
  <c r="AA47" i="29" s="1"/>
  <c r="AA11" i="29"/>
  <c r="I43" i="1"/>
  <c r="V14" i="29"/>
  <c r="K45" i="2"/>
  <c r="K53" i="2"/>
  <c r="K52" i="44"/>
  <c r="K56" i="2"/>
  <c r="K55" i="44"/>
  <c r="K57" i="44"/>
  <c r="K56" i="44" s="1"/>
  <c r="J53" i="2"/>
  <c r="J52" i="44"/>
  <c r="K55" i="2"/>
  <c r="K54" i="44"/>
  <c r="K46" i="2"/>
  <c r="K46" i="44"/>
  <c r="J47" i="2"/>
  <c r="J47" i="44"/>
  <c r="J41" i="44" s="1"/>
  <c r="J40" i="44" s="1"/>
  <c r="V16" i="29"/>
  <c r="Y17" i="29"/>
  <c r="Z17" i="29"/>
  <c r="AB17" i="29" s="1"/>
  <c r="K58" i="2"/>
  <c r="V44" i="29"/>
  <c r="S10" i="29"/>
  <c r="S54" i="29" s="1"/>
  <c r="S55" i="29" s="1"/>
  <c r="L42" i="2"/>
  <c r="R10" i="29"/>
  <c r="R54" i="29" s="1"/>
  <c r="K42" i="2"/>
  <c r="I40" i="1"/>
  <c r="K57" i="1"/>
  <c r="K55" i="1" s="1"/>
  <c r="X43" i="29"/>
  <c r="L52" i="44" s="1"/>
  <c r="Y43" i="29"/>
  <c r="V11" i="29"/>
  <c r="W11" i="29"/>
  <c r="U11" i="29"/>
  <c r="T10" i="29"/>
  <c r="X50" i="29"/>
  <c r="Y50" i="29"/>
  <c r="Y46" i="29"/>
  <c r="X46" i="29"/>
  <c r="L54" i="1" s="1"/>
  <c r="X45" i="29"/>
  <c r="L53" i="1" s="1"/>
  <c r="Y45" i="29"/>
  <c r="Y14" i="29"/>
  <c r="X14" i="29"/>
  <c r="L43" i="1" s="1"/>
  <c r="X12" i="29"/>
  <c r="L41" i="1" s="1"/>
  <c r="Y12" i="29"/>
  <c r="Y16" i="29"/>
  <c r="X16" i="29"/>
  <c r="L45" i="1" s="1"/>
  <c r="X15" i="29"/>
  <c r="L44" i="1" s="1"/>
  <c r="Y15" i="29"/>
  <c r="X49" i="29"/>
  <c r="Y49" i="29"/>
  <c r="Y44" i="29"/>
  <c r="X44" i="29"/>
  <c r="L53" i="44" s="1"/>
  <c r="X48" i="29"/>
  <c r="L57" i="1" s="1"/>
  <c r="L55" i="1" s="1"/>
  <c r="Y48" i="29"/>
  <c r="Y47" i="29"/>
  <c r="X47" i="29"/>
  <c r="X13" i="29"/>
  <c r="L42" i="1" s="1"/>
  <c r="Y13" i="29"/>
  <c r="M41" i="2" l="1"/>
  <c r="M60" i="2"/>
  <c r="M57" i="2" s="1"/>
  <c r="AB47" i="29"/>
  <c r="M40" i="1"/>
  <c r="M39" i="1" s="1"/>
  <c r="M59" i="1"/>
  <c r="M55" i="1" s="1"/>
  <c r="AA17" i="29"/>
  <c r="AA10" i="29" s="1"/>
  <c r="Z10" i="29"/>
  <c r="AB10" i="29"/>
  <c r="AB54" i="29" s="1"/>
  <c r="V10" i="29"/>
  <c r="L58" i="2"/>
  <c r="L57" i="44"/>
  <c r="L56" i="44" s="1"/>
  <c r="L46" i="2"/>
  <c r="L46" i="44"/>
  <c r="L55" i="2"/>
  <c r="L54" i="44"/>
  <c r="K54" i="2"/>
  <c r="K53" i="44"/>
  <c r="K47" i="2"/>
  <c r="K47" i="44"/>
  <c r="K41" i="44" s="1"/>
  <c r="L47" i="2"/>
  <c r="L47" i="44"/>
  <c r="L56" i="2"/>
  <c r="L55" i="44"/>
  <c r="R55" i="29"/>
  <c r="L54" i="2"/>
  <c r="L52" i="1"/>
  <c r="U10" i="29"/>
  <c r="K40" i="1"/>
  <c r="L53" i="2"/>
  <c r="L51" i="1"/>
  <c r="X11" i="29"/>
  <c r="W10" i="29"/>
  <c r="Y11" i="29"/>
  <c r="Y10" i="29" s="1"/>
  <c r="Z54" i="29" l="1"/>
  <c r="Z55" i="29" s="1"/>
  <c r="AA54" i="29"/>
  <c r="AA55" i="29" s="1"/>
  <c r="AB55" i="29"/>
  <c r="L41" i="44"/>
  <c r="X10" i="29"/>
  <c r="L40" i="1"/>
  <c r="F122" i="3"/>
  <c r="S117" i="3"/>
  <c r="S119" i="3" s="1"/>
  <c r="S122" i="3" s="1"/>
  <c r="Q12" i="35" s="1"/>
  <c r="G117" i="3"/>
  <c r="G119" i="3" s="1"/>
  <c r="G122" i="3" s="1"/>
  <c r="F117" i="3"/>
  <c r="I116" i="3"/>
  <c r="I115" i="3"/>
  <c r="I114" i="3"/>
  <c r="S113" i="3"/>
  <c r="I113" i="3"/>
  <c r="E113" i="3"/>
  <c r="S112" i="3"/>
  <c r="I112" i="3"/>
  <c r="E112" i="3"/>
  <c r="S111" i="3"/>
  <c r="I111" i="3"/>
  <c r="E111" i="3"/>
  <c r="I110" i="3"/>
  <c r="I109" i="3"/>
  <c r="I108" i="3"/>
  <c r="I107" i="3"/>
  <c r="I106" i="3"/>
  <c r="I105" i="3"/>
  <c r="I104" i="3"/>
  <c r="I103" i="3"/>
  <c r="I102" i="3"/>
  <c r="L101" i="3"/>
  <c r="K101" i="3"/>
  <c r="J101" i="3"/>
  <c r="I101" i="3"/>
  <c r="H101" i="3"/>
  <c r="E101" i="3"/>
  <c r="E117" i="3" s="1"/>
  <c r="E119" i="3" s="1"/>
  <c r="E122" i="3" s="1"/>
  <c r="D101" i="3"/>
  <c r="L99" i="3"/>
  <c r="K99" i="3"/>
  <c r="J99" i="3"/>
  <c r="I99" i="3"/>
  <c r="H99" i="3"/>
  <c r="L98" i="3"/>
  <c r="K98" i="3"/>
  <c r="K117" i="3" s="1"/>
  <c r="K119" i="3" s="1"/>
  <c r="J98" i="3"/>
  <c r="I98" i="3"/>
  <c r="I117" i="3" s="1"/>
  <c r="I119" i="3" s="1"/>
  <c r="H98" i="3"/>
  <c r="D98" i="3"/>
  <c r="I96" i="3"/>
  <c r="I95" i="3"/>
  <c r="I94" i="3"/>
  <c r="I93" i="3"/>
  <c r="I92" i="3"/>
  <c r="S91" i="3"/>
  <c r="I91" i="3"/>
  <c r="E91" i="3"/>
  <c r="I90" i="3"/>
  <c r="I89" i="3"/>
  <c r="I88" i="3"/>
  <c r="I87" i="3"/>
  <c r="I86" i="3"/>
  <c r="S85" i="3"/>
  <c r="I85" i="3"/>
  <c r="E85" i="3"/>
  <c r="I84" i="3"/>
  <c r="D81" i="3"/>
  <c r="D99" i="3" s="1"/>
  <c r="L79" i="3"/>
  <c r="K79" i="3"/>
  <c r="J79" i="3"/>
  <c r="H79" i="3"/>
  <c r="I79" i="3" s="1"/>
  <c r="G79" i="3"/>
  <c r="F79" i="3"/>
  <c r="E79" i="3"/>
  <c r="D79" i="3"/>
  <c r="I122" i="3" l="1"/>
  <c r="I16" i="44"/>
  <c r="I15" i="44" s="1"/>
  <c r="K122" i="3"/>
  <c r="K16" i="44"/>
  <c r="H117" i="3"/>
  <c r="H119" i="3" s="1"/>
  <c r="H16" i="44" s="1"/>
  <c r="H15" i="44" s="1"/>
  <c r="J117" i="3"/>
  <c r="J119" i="3" s="1"/>
  <c r="J16" i="44" s="1"/>
  <c r="L117" i="3"/>
  <c r="L119" i="3" s="1"/>
  <c r="L16" i="44" s="1"/>
  <c r="K16" i="2"/>
  <c r="M12" i="35" s="1"/>
  <c r="I16" i="2"/>
  <c r="K12" i="35" s="1"/>
  <c r="D117" i="3"/>
  <c r="D119" i="3" s="1"/>
  <c r="D122" i="3" s="1"/>
  <c r="Q117" i="3"/>
  <c r="Q119" i="3" s="1"/>
  <c r="Q122" i="3" s="1"/>
  <c r="R117" i="3"/>
  <c r="R119" i="3" s="1"/>
  <c r="R122" i="3" s="1"/>
  <c r="P12" i="35" s="1"/>
  <c r="O12" i="35" l="1"/>
  <c r="M16" i="2"/>
  <c r="J122" i="3"/>
  <c r="J16" i="2"/>
  <c r="L12" i="35" s="1"/>
  <c r="L122" i="3"/>
  <c r="L16" i="2"/>
  <c r="N12" i="35" s="1"/>
  <c r="H122" i="3"/>
  <c r="H16" i="2"/>
  <c r="J12" i="35" s="1"/>
  <c r="I149" i="4"/>
  <c r="I151" i="4" s="1"/>
  <c r="I154" i="4" s="1"/>
  <c r="I16" i="1" s="1"/>
  <c r="K12" i="33" s="1"/>
  <c r="G149" i="4"/>
  <c r="G151" i="4" s="1"/>
  <c r="G154" i="4" s="1"/>
  <c r="G16" i="1" s="1"/>
  <c r="F149" i="4"/>
  <c r="F151" i="4" s="1"/>
  <c r="F154" i="4" s="1"/>
  <c r="F16" i="1" s="1"/>
  <c r="E149" i="4"/>
  <c r="E151" i="4" s="1"/>
  <c r="E154" i="4" s="1"/>
  <c r="E16" i="1" s="1"/>
  <c r="I148" i="4"/>
  <c r="I147" i="4"/>
  <c r="I146" i="4"/>
  <c r="I145" i="4"/>
  <c r="E145" i="4"/>
  <c r="I144" i="4"/>
  <c r="E144" i="4"/>
  <c r="I143" i="4"/>
  <c r="E143" i="4"/>
  <c r="I142" i="4"/>
  <c r="I141" i="4"/>
  <c r="I140" i="4"/>
  <c r="I139" i="4"/>
  <c r="I138" i="4"/>
  <c r="I137" i="4"/>
  <c r="I136" i="4"/>
  <c r="I135" i="4"/>
  <c r="I134" i="4"/>
  <c r="I133" i="4"/>
  <c r="I132" i="4"/>
  <c r="L131" i="4"/>
  <c r="K131" i="4"/>
  <c r="J131" i="4"/>
  <c r="I131" i="4"/>
  <c r="H131" i="4"/>
  <c r="M131" i="4" s="1"/>
  <c r="L130" i="4"/>
  <c r="K130" i="4"/>
  <c r="K149" i="4" s="1"/>
  <c r="K151" i="4" s="1"/>
  <c r="K154" i="4" s="1"/>
  <c r="K16" i="1" s="1"/>
  <c r="M12" i="33" s="1"/>
  <c r="J130" i="4"/>
  <c r="J149" i="4" s="1"/>
  <c r="I130" i="4"/>
  <c r="H130" i="4"/>
  <c r="M130" i="4" s="1"/>
  <c r="I128" i="4"/>
  <c r="I127" i="4"/>
  <c r="I126" i="4"/>
  <c r="I125" i="4"/>
  <c r="I124" i="4"/>
  <c r="I123" i="4"/>
  <c r="E123" i="4"/>
  <c r="I122" i="4"/>
  <c r="I121" i="4"/>
  <c r="I120" i="4"/>
  <c r="I119" i="4"/>
  <c r="I118" i="4"/>
  <c r="I117" i="4"/>
  <c r="E117" i="4"/>
  <c r="I116" i="4"/>
  <c r="I115" i="4"/>
  <c r="I114" i="4"/>
  <c r="D113" i="4"/>
  <c r="D149" i="4"/>
  <c r="D151" i="4" s="1"/>
  <c r="D154" i="4" s="1"/>
  <c r="L111" i="4"/>
  <c r="K111" i="4"/>
  <c r="J111" i="4"/>
  <c r="I111" i="4"/>
  <c r="H111" i="4"/>
  <c r="G111" i="4"/>
  <c r="F111" i="4"/>
  <c r="E111" i="4"/>
  <c r="N131" i="4" l="1"/>
  <c r="O131" i="4" s="1"/>
  <c r="M149" i="4"/>
  <c r="M151" i="4" s="1"/>
  <c r="M154" i="4" s="1"/>
  <c r="N130" i="4"/>
  <c r="D111" i="4"/>
  <c r="H149" i="4"/>
  <c r="H151" i="4" s="1"/>
  <c r="H154" i="4" s="1"/>
  <c r="H16" i="1" s="1"/>
  <c r="J12" i="33" s="1"/>
  <c r="J151" i="4"/>
  <c r="J154" i="4" s="1"/>
  <c r="J16" i="1" s="1"/>
  <c r="L12" i="33" s="1"/>
  <c r="L149" i="4"/>
  <c r="L151" i="4" s="1"/>
  <c r="L154" i="4" s="1"/>
  <c r="L16" i="1" s="1"/>
  <c r="N12" i="33" s="1"/>
  <c r="N149" i="4" l="1"/>
  <c r="N151" i="4" s="1"/>
  <c r="N154" i="4" s="1"/>
  <c r="O130" i="4"/>
  <c r="O149" i="4" s="1"/>
  <c r="O151" i="4" s="1"/>
  <c r="O154" i="4" s="1"/>
  <c r="H49" i="1"/>
  <c r="H50" i="1" s="1"/>
  <c r="I241" i="8"/>
  <c r="I238" i="8"/>
  <c r="I235" i="8"/>
  <c r="I232" i="8"/>
  <c r="I229" i="8"/>
  <c r="I268" i="8"/>
  <c r="I210" i="8"/>
  <c r="I207" i="8"/>
  <c r="I204" i="8"/>
  <c r="I201" i="8"/>
  <c r="I198" i="8"/>
  <c r="H235" i="8"/>
  <c r="H232" i="8"/>
  <c r="H268" i="8"/>
  <c r="H238" i="8"/>
  <c r="H241" i="8"/>
  <c r="H229" i="8"/>
  <c r="H217" i="8"/>
  <c r="H221" i="8" s="1"/>
  <c r="H329" i="4" s="1"/>
  <c r="I219" i="8"/>
  <c r="I217" i="8" s="1"/>
  <c r="I221" i="8" s="1"/>
  <c r="H210" i="8"/>
  <c r="H207" i="8"/>
  <c r="H204" i="8"/>
  <c r="H201" i="8"/>
  <c r="H198" i="8"/>
  <c r="I223" i="8" l="1"/>
  <c r="I329" i="4"/>
  <c r="H36" i="1"/>
  <c r="H223" i="8"/>
  <c r="I36" i="1"/>
  <c r="I265" i="8"/>
  <c r="I267" i="8" s="1"/>
  <c r="H265" i="8"/>
  <c r="H267" i="8" s="1"/>
  <c r="H188" i="8"/>
  <c r="H143" i="8"/>
  <c r="H185" i="8"/>
  <c r="H182" i="8"/>
  <c r="H179" i="8"/>
  <c r="H173" i="8"/>
  <c r="H170" i="8"/>
  <c r="H167" i="8"/>
  <c r="H164" i="8"/>
  <c r="H155" i="8"/>
  <c r="H191" i="8" s="1"/>
  <c r="H161" i="8"/>
  <c r="I188" i="8"/>
  <c r="I185" i="8"/>
  <c r="I182" i="8"/>
  <c r="I179" i="8"/>
  <c r="I173" i="8"/>
  <c r="I170" i="8"/>
  <c r="I167" i="8"/>
  <c r="I164" i="8"/>
  <c r="I161" i="8"/>
  <c r="I155" i="8"/>
  <c r="I191" i="8" s="1"/>
  <c r="H153" i="8"/>
  <c r="I153" i="8"/>
  <c r="I146" i="8"/>
  <c r="I143" i="8"/>
  <c r="I140" i="8"/>
  <c r="I137" i="8"/>
  <c r="I134" i="8"/>
  <c r="I131" i="8"/>
  <c r="I128" i="8"/>
  <c r="I125" i="8"/>
  <c r="I122" i="8"/>
  <c r="I24" i="44" l="1"/>
  <c r="I24" i="2"/>
  <c r="I10" i="36" s="1"/>
  <c r="I193" i="8"/>
  <c r="H193" i="8"/>
  <c r="H24" i="44"/>
  <c r="H24" i="2"/>
  <c r="H10" i="36" s="1"/>
  <c r="H330" i="4"/>
  <c r="H328" i="4" s="1"/>
  <c r="H333" i="4" s="1"/>
  <c r="H37" i="1"/>
  <c r="I330" i="4"/>
  <c r="I328" i="4" s="1"/>
  <c r="I333" i="4" s="1"/>
  <c r="I37" i="1"/>
  <c r="I35" i="1" s="1"/>
  <c r="I119" i="8"/>
  <c r="I116" i="8"/>
  <c r="I112" i="8"/>
  <c r="H146" i="8"/>
  <c r="H140" i="8"/>
  <c r="H137" i="8"/>
  <c r="H134" i="8"/>
  <c r="H131" i="8"/>
  <c r="H128" i="8"/>
  <c r="H125" i="8"/>
  <c r="H122" i="8"/>
  <c r="H119" i="8"/>
  <c r="H116" i="8"/>
  <c r="H112" i="8"/>
  <c r="H23" i="1" s="1"/>
  <c r="H11" i="32" s="1"/>
  <c r="I98" i="8"/>
  <c r="I97" i="8"/>
  <c r="H78" i="8"/>
  <c r="H92" i="8" s="1"/>
  <c r="H97" i="8" s="1"/>
  <c r="H98" i="8" s="1"/>
  <c r="I92" i="8"/>
  <c r="I78" i="8"/>
  <c r="H82" i="8"/>
  <c r="H150" i="8" l="1"/>
  <c r="H152" i="8" s="1"/>
  <c r="H24" i="1" s="1"/>
  <c r="H12" i="32" s="1"/>
  <c r="I23" i="1"/>
  <c r="I11" i="32" s="1"/>
  <c r="I150" i="8"/>
  <c r="I152" i="8" s="1"/>
  <c r="I24" i="1" s="1"/>
  <c r="I12" i="32" s="1"/>
  <c r="H25" i="44"/>
  <c r="H25" i="2"/>
  <c r="H11" i="36" s="1"/>
  <c r="H23" i="44"/>
  <c r="I25" i="44"/>
  <c r="I25" i="2"/>
  <c r="I11" i="36" s="1"/>
  <c r="I23" i="44"/>
  <c r="H232" i="4"/>
  <c r="Q462" i="3" l="1"/>
  <c r="R462" i="3"/>
  <c r="S462" i="3"/>
  <c r="T462" i="3"/>
  <c r="I461" i="3"/>
  <c r="I71" i="44" s="1"/>
  <c r="J461" i="3"/>
  <c r="K461" i="3"/>
  <c r="L461" i="3"/>
  <c r="J71" i="44" s="1"/>
  <c r="Q461" i="3"/>
  <c r="K71" i="44" s="1"/>
  <c r="R461" i="3"/>
  <c r="L71" i="44" s="1"/>
  <c r="S461" i="3"/>
  <c r="T461" i="3"/>
  <c r="H461" i="3"/>
  <c r="I74" i="1"/>
  <c r="K74" i="1"/>
  <c r="L74" i="1"/>
  <c r="H74" i="1"/>
  <c r="H121" i="26"/>
  <c r="H466" i="3" s="1"/>
  <c r="H74" i="44" s="1"/>
  <c r="H120" i="26"/>
  <c r="H112" i="26"/>
  <c r="L116" i="26"/>
  <c r="L462" i="3" s="1"/>
  <c r="K116" i="26"/>
  <c r="K462" i="3" s="1"/>
  <c r="J116" i="26"/>
  <c r="J462" i="3" s="1"/>
  <c r="I116" i="26"/>
  <c r="I462" i="3" s="1"/>
  <c r="H116" i="26"/>
  <c r="H122" i="26" s="1"/>
  <c r="H104" i="26"/>
  <c r="H437" i="4" s="1"/>
  <c r="H77" i="1" s="1"/>
  <c r="H103" i="26"/>
  <c r="H436" i="4" s="1"/>
  <c r="H76" i="1" s="1"/>
  <c r="H21" i="30" s="1"/>
  <c r="H101" i="26"/>
  <c r="H434" i="4" s="1"/>
  <c r="H433" i="4" s="1"/>
  <c r="H99" i="26"/>
  <c r="H95" i="26"/>
  <c r="H97" i="26" s="1"/>
  <c r="I77" i="26"/>
  <c r="I121" i="26" s="1"/>
  <c r="I76" i="26"/>
  <c r="J76" i="26" s="1"/>
  <c r="I75" i="26"/>
  <c r="I74" i="26"/>
  <c r="I101" i="26" s="1"/>
  <c r="I434" i="4" s="1"/>
  <c r="I433" i="4" s="1"/>
  <c r="H73" i="26"/>
  <c r="I72" i="26"/>
  <c r="I68" i="26"/>
  <c r="I70" i="26" s="1"/>
  <c r="H291" i="4"/>
  <c r="H325" i="3"/>
  <c r="H83" i="4"/>
  <c r="H89" i="4"/>
  <c r="I89" i="4"/>
  <c r="I90" i="4" s="1"/>
  <c r="H53" i="3"/>
  <c r="I53" i="3"/>
  <c r="H55" i="3"/>
  <c r="I55" i="3"/>
  <c r="H50" i="3"/>
  <c r="I50" i="3" s="1"/>
  <c r="H49" i="3"/>
  <c r="H51" i="3" s="1"/>
  <c r="H56" i="3" s="1"/>
  <c r="H61" i="3"/>
  <c r="I61" i="3" s="1"/>
  <c r="J61" i="3" s="1"/>
  <c r="K61" i="3" s="1"/>
  <c r="L61" i="3" s="1"/>
  <c r="H60" i="3"/>
  <c r="I60" i="3" s="1"/>
  <c r="J60" i="3" s="1"/>
  <c r="K60" i="3" s="1"/>
  <c r="L60" i="3" s="1"/>
  <c r="H59" i="3"/>
  <c r="I59" i="3" s="1"/>
  <c r="H58" i="3"/>
  <c r="I58" i="3" s="1"/>
  <c r="J58" i="3" s="1"/>
  <c r="K58" i="3" s="1"/>
  <c r="L58" i="3" s="1"/>
  <c r="H95" i="4"/>
  <c r="H94" i="4"/>
  <c r="I94" i="4" s="1"/>
  <c r="H93" i="4"/>
  <c r="I93" i="4" s="1"/>
  <c r="J93" i="4" s="1"/>
  <c r="K93" i="4" s="1"/>
  <c r="L93" i="4" s="1"/>
  <c r="L20" i="23"/>
  <c r="K20" i="23"/>
  <c r="L23" i="23"/>
  <c r="L24" i="23"/>
  <c r="L19" i="23"/>
  <c r="L11" i="23"/>
  <c r="L22" i="23"/>
  <c r="L21" i="23"/>
  <c r="L18" i="23"/>
  <c r="L17" i="23"/>
  <c r="L14" i="23"/>
  <c r="L15" i="23"/>
  <c r="L10" i="23"/>
  <c r="K21" i="23"/>
  <c r="I95" i="4"/>
  <c r="J95" i="4" s="1"/>
  <c r="K95" i="4" s="1"/>
  <c r="L95" i="4" s="1"/>
  <c r="H90" i="4"/>
  <c r="L7" i="23"/>
  <c r="L6" i="23"/>
  <c r="H92" i="4"/>
  <c r="I92" i="4" s="1"/>
  <c r="J92" i="4" s="1"/>
  <c r="K92" i="4" s="1"/>
  <c r="L92" i="4" s="1"/>
  <c r="I77" i="2" l="1"/>
  <c r="I72" i="44"/>
  <c r="K77" i="2"/>
  <c r="K72" i="44"/>
  <c r="J77" i="2"/>
  <c r="J72" i="44"/>
  <c r="L77" i="2"/>
  <c r="L72" i="44"/>
  <c r="H76" i="2"/>
  <c r="H71" i="44"/>
  <c r="I69" i="44"/>
  <c r="I291" i="4"/>
  <c r="H306" i="4"/>
  <c r="I57" i="3"/>
  <c r="J57" i="3" s="1"/>
  <c r="I49" i="3"/>
  <c r="I51" i="3" s="1"/>
  <c r="I56" i="3" s="1"/>
  <c r="I62" i="3" s="1"/>
  <c r="H19" i="34"/>
  <c r="H79" i="2"/>
  <c r="I325" i="3"/>
  <c r="I31" i="2" s="1"/>
  <c r="I19" i="36" s="1"/>
  <c r="H31" i="2"/>
  <c r="H19" i="36" s="1"/>
  <c r="I73" i="26"/>
  <c r="I100" i="26" s="1"/>
  <c r="H82" i="26"/>
  <c r="I95" i="26"/>
  <c r="H100" i="26"/>
  <c r="H105" i="26" s="1"/>
  <c r="H430" i="4"/>
  <c r="H462" i="3"/>
  <c r="I112" i="26"/>
  <c r="I99" i="26"/>
  <c r="I82" i="26"/>
  <c r="H432" i="4"/>
  <c r="H91" i="4"/>
  <c r="I432" i="4"/>
  <c r="J120" i="26"/>
  <c r="J103" i="26"/>
  <c r="J436" i="4" s="1"/>
  <c r="K76" i="26"/>
  <c r="J72" i="26"/>
  <c r="J77" i="26"/>
  <c r="I103" i="26"/>
  <c r="I436" i="4" s="1"/>
  <c r="I76" i="1" s="1"/>
  <c r="I21" i="30" s="1"/>
  <c r="I104" i="26"/>
  <c r="I437" i="4" s="1"/>
  <c r="I77" i="1" s="1"/>
  <c r="I120" i="26"/>
  <c r="J59" i="3"/>
  <c r="K59" i="3" s="1"/>
  <c r="L59" i="3" s="1"/>
  <c r="H476" i="3"/>
  <c r="H75" i="1"/>
  <c r="I75" i="1"/>
  <c r="I91" i="4"/>
  <c r="J91" i="4" s="1"/>
  <c r="J94" i="4"/>
  <c r="H446" i="4"/>
  <c r="H57" i="3"/>
  <c r="H62" i="3" s="1"/>
  <c r="I97" i="4"/>
  <c r="I14" i="1" s="1"/>
  <c r="K5" i="23"/>
  <c r="L5" i="23"/>
  <c r="K9" i="23"/>
  <c r="L9" i="23"/>
  <c r="K16" i="23"/>
  <c r="L16" i="23"/>
  <c r="K26" i="23"/>
  <c r="L26" i="23"/>
  <c r="I93" i="2"/>
  <c r="I89" i="2"/>
  <c r="I80" i="2"/>
  <c r="I76" i="2"/>
  <c r="I73" i="2"/>
  <c r="I72" i="2"/>
  <c r="I71" i="2"/>
  <c r="I70" i="2"/>
  <c r="I67" i="2"/>
  <c r="I50" i="2"/>
  <c r="I41" i="2"/>
  <c r="I23" i="2"/>
  <c r="H93" i="2"/>
  <c r="H90" i="2"/>
  <c r="J20" i="35" s="1"/>
  <c r="H80" i="2"/>
  <c r="H73" i="2"/>
  <c r="H72" i="2"/>
  <c r="H71" i="2"/>
  <c r="H70" i="2"/>
  <c r="H67" i="2"/>
  <c r="H57" i="2"/>
  <c r="H50" i="2"/>
  <c r="H41" i="2"/>
  <c r="H23" i="2"/>
  <c r="H292" i="3"/>
  <c r="Q292" i="3"/>
  <c r="R292" i="3"/>
  <c r="S292" i="3"/>
  <c r="T292" i="3"/>
  <c r="I290" i="3"/>
  <c r="I292" i="3" s="1"/>
  <c r="L287" i="3"/>
  <c r="K287" i="3"/>
  <c r="J287" i="3"/>
  <c r="L283" i="3"/>
  <c r="K283" i="3"/>
  <c r="J283" i="3"/>
  <c r="I286" i="3"/>
  <c r="H288" i="3"/>
  <c r="I288" i="3"/>
  <c r="H284" i="3"/>
  <c r="I282" i="3"/>
  <c r="I284" i="3" s="1"/>
  <c r="I267" i="3"/>
  <c r="I280" i="3" s="1"/>
  <c r="I265" i="3"/>
  <c r="H265" i="3"/>
  <c r="H267" i="3" s="1"/>
  <c r="H280" i="3" s="1"/>
  <c r="I237" i="4"/>
  <c r="I236" i="4"/>
  <c r="I238" i="4" s="1"/>
  <c r="H238" i="4"/>
  <c r="H293" i="3" l="1"/>
  <c r="H29" i="44" s="1"/>
  <c r="H28" i="44" s="1"/>
  <c r="H77" i="2"/>
  <c r="H72" i="44"/>
  <c r="H69" i="44" s="1"/>
  <c r="H74" i="2"/>
  <c r="J76" i="1"/>
  <c r="J21" i="30" s="1"/>
  <c r="K94" i="4"/>
  <c r="L94" i="4" s="1"/>
  <c r="M94" i="4"/>
  <c r="M91" i="4" s="1"/>
  <c r="M97" i="4" s="1"/>
  <c r="J291" i="4"/>
  <c r="I306" i="4"/>
  <c r="H29" i="2"/>
  <c r="H28" i="2" s="1"/>
  <c r="H10" i="34"/>
  <c r="I114" i="26"/>
  <c r="I97" i="26"/>
  <c r="I430" i="4"/>
  <c r="H87" i="26"/>
  <c r="H88" i="26"/>
  <c r="I122" i="26"/>
  <c r="I105" i="26"/>
  <c r="I446" i="4"/>
  <c r="K72" i="26"/>
  <c r="J99" i="26"/>
  <c r="I88" i="26"/>
  <c r="I87" i="26"/>
  <c r="J104" i="26"/>
  <c r="J437" i="4" s="1"/>
  <c r="K77" i="26"/>
  <c r="J121" i="26"/>
  <c r="L76" i="26"/>
  <c r="K120" i="26"/>
  <c r="K103" i="26"/>
  <c r="K436" i="4" s="1"/>
  <c r="I40" i="2"/>
  <c r="I22" i="36" s="1"/>
  <c r="H40" i="2"/>
  <c r="H22" i="36" s="1"/>
  <c r="H15" i="2"/>
  <c r="H69" i="2"/>
  <c r="I69" i="2"/>
  <c r="I15" i="2"/>
  <c r="I293" i="3"/>
  <c r="H234" i="4"/>
  <c r="H240" i="4" s="1"/>
  <c r="I232" i="4"/>
  <c r="I233" i="4"/>
  <c r="I86" i="17"/>
  <c r="I18" i="1"/>
  <c r="I21" i="1"/>
  <c r="I28" i="1"/>
  <c r="I30" i="1"/>
  <c r="I18" i="32" s="1"/>
  <c r="I31" i="1"/>
  <c r="I78" i="1"/>
  <c r="I94" i="1"/>
  <c r="H94" i="1"/>
  <c r="H78" i="1"/>
  <c r="H67" i="1"/>
  <c r="H65" i="1"/>
  <c r="H48" i="1"/>
  <c r="H31" i="1"/>
  <c r="H30" i="1"/>
  <c r="H18" i="32" s="1"/>
  <c r="H28" i="1"/>
  <c r="H21" i="1"/>
  <c r="H18" i="1"/>
  <c r="I310" i="3"/>
  <c r="J310" i="3"/>
  <c r="Q310" i="3" s="1"/>
  <c r="K310" i="3"/>
  <c r="R310" i="3" s="1"/>
  <c r="L310" i="3"/>
  <c r="S310" i="3" s="1"/>
  <c r="I309" i="3"/>
  <c r="J309" i="3"/>
  <c r="K309" i="3"/>
  <c r="L309" i="3"/>
  <c r="S309" i="3" s="1"/>
  <c r="J308" i="3"/>
  <c r="K308" i="3"/>
  <c r="Q308" i="3" s="1"/>
  <c r="S308" i="3" s="1"/>
  <c r="L308" i="3"/>
  <c r="R308" i="3" s="1"/>
  <c r="T308" i="3"/>
  <c r="I307" i="3"/>
  <c r="J307" i="3"/>
  <c r="Q307" i="3" s="1"/>
  <c r="Q311" i="3" s="1"/>
  <c r="K307" i="3"/>
  <c r="R307" i="3" s="1"/>
  <c r="R311" i="3" s="1"/>
  <c r="N28" i="34" s="1"/>
  <c r="L307" i="3"/>
  <c r="S307" i="3" s="1"/>
  <c r="S311" i="3" s="1"/>
  <c r="O28" i="34" s="1"/>
  <c r="H310" i="3"/>
  <c r="H309" i="3"/>
  <c r="H308" i="3"/>
  <c r="H307" i="3"/>
  <c r="K274" i="4"/>
  <c r="N274" i="4" s="1"/>
  <c r="L274" i="4"/>
  <c r="O274" i="4" s="1"/>
  <c r="K273" i="4"/>
  <c r="N273" i="4" s="1"/>
  <c r="L273" i="4"/>
  <c r="O273" i="4" s="1"/>
  <c r="I276" i="4"/>
  <c r="J276" i="4"/>
  <c r="M276" i="4" s="1"/>
  <c r="K276" i="4"/>
  <c r="N276" i="4" s="1"/>
  <c r="L276" i="4"/>
  <c r="O276" i="4" s="1"/>
  <c r="H276" i="4"/>
  <c r="I275" i="4"/>
  <c r="J275" i="4"/>
  <c r="K275" i="4"/>
  <c r="N275" i="4" s="1"/>
  <c r="L275" i="4"/>
  <c r="O275" i="4" s="1"/>
  <c r="H275" i="4"/>
  <c r="J274" i="4"/>
  <c r="M274" i="4" s="1"/>
  <c r="H274" i="4"/>
  <c r="I273" i="4"/>
  <c r="J273" i="4"/>
  <c r="M273" i="4" s="1"/>
  <c r="H273" i="4"/>
  <c r="I40" i="3"/>
  <c r="I36" i="3"/>
  <c r="I44" i="3"/>
  <c r="H43" i="3"/>
  <c r="H45" i="3" s="1"/>
  <c r="H39" i="3"/>
  <c r="H41" i="3" s="1"/>
  <c r="H35" i="3"/>
  <c r="I35" i="3" s="1"/>
  <c r="H69" i="4"/>
  <c r="O26" i="34" l="1"/>
  <c r="Q15" i="35"/>
  <c r="M28" i="34"/>
  <c r="M26" i="2"/>
  <c r="P15" i="35"/>
  <c r="N26" i="34"/>
  <c r="I296" i="3"/>
  <c r="I29" i="44"/>
  <c r="I28" i="44" s="1"/>
  <c r="H296" i="3"/>
  <c r="K76" i="1"/>
  <c r="K21" i="30" s="1"/>
  <c r="J77" i="1"/>
  <c r="M437" i="4"/>
  <c r="M275" i="4"/>
  <c r="H20" i="1"/>
  <c r="H10" i="30"/>
  <c r="I29" i="2"/>
  <c r="I28" i="2" s="1"/>
  <c r="I10" i="34"/>
  <c r="H90" i="26"/>
  <c r="H91" i="26"/>
  <c r="I234" i="4"/>
  <c r="I240" i="4" s="1"/>
  <c r="L120" i="26"/>
  <c r="L103" i="26"/>
  <c r="L436" i="4" s="1"/>
  <c r="K121" i="26"/>
  <c r="K104" i="26"/>
  <c r="K437" i="4" s="1"/>
  <c r="L77" i="26"/>
  <c r="K99" i="26"/>
  <c r="L72" i="26"/>
  <c r="I90" i="26"/>
  <c r="I91" i="26"/>
  <c r="J432" i="4"/>
  <c r="M432" i="4" s="1"/>
  <c r="I74" i="2"/>
  <c r="I476" i="3"/>
  <c r="I39" i="3"/>
  <c r="I37" i="3"/>
  <c r="I43" i="3"/>
  <c r="I45" i="3" s="1"/>
  <c r="H37" i="3"/>
  <c r="H46" i="3" s="1"/>
  <c r="I41" i="3"/>
  <c r="K311" i="3"/>
  <c r="K26" i="44" s="1"/>
  <c r="L311" i="3"/>
  <c r="L26" i="44" s="1"/>
  <c r="J311" i="3"/>
  <c r="J26" i="44" s="1"/>
  <c r="H311" i="3"/>
  <c r="H27" i="1"/>
  <c r="H35" i="1"/>
  <c r="H32" i="1" s="1"/>
  <c r="H20" i="32" s="1"/>
  <c r="I27" i="1"/>
  <c r="H15" i="1"/>
  <c r="I32" i="1"/>
  <c r="H277" i="4"/>
  <c r="H25" i="1" s="1"/>
  <c r="I69" i="4"/>
  <c r="I78" i="4"/>
  <c r="M78" i="4" s="1"/>
  <c r="M79" i="4" s="1"/>
  <c r="I74" i="4"/>
  <c r="I70" i="4"/>
  <c r="H77" i="4"/>
  <c r="I77" i="4" s="1"/>
  <c r="H73" i="4"/>
  <c r="I73" i="4" s="1"/>
  <c r="H13" i="2" l="1"/>
  <c r="H13" i="44"/>
  <c r="H26" i="2"/>
  <c r="H28" i="34" s="1"/>
  <c r="H29" i="34" s="1"/>
  <c r="J13" i="35" s="1"/>
  <c r="H26" i="44"/>
  <c r="M26" i="34"/>
  <c r="O15" i="35"/>
  <c r="K77" i="1"/>
  <c r="N437" i="4"/>
  <c r="L76" i="1"/>
  <c r="L21" i="30" s="1"/>
  <c r="I20" i="1"/>
  <c r="I15" i="1" s="1"/>
  <c r="I10" i="30"/>
  <c r="G20" i="32"/>
  <c r="I20" i="32"/>
  <c r="H35" i="30"/>
  <c r="J15" i="33" s="1"/>
  <c r="H13" i="32"/>
  <c r="I46" i="3"/>
  <c r="L99" i="26"/>
  <c r="K432" i="4"/>
  <c r="N432" i="4" s="1"/>
  <c r="L104" i="26"/>
  <c r="L437" i="4" s="1"/>
  <c r="O437" i="4" s="1"/>
  <c r="L121" i="26"/>
  <c r="H63" i="3"/>
  <c r="I63" i="3"/>
  <c r="H79" i="4"/>
  <c r="H97" i="4"/>
  <c r="H14" i="1" s="1"/>
  <c r="H75" i="4"/>
  <c r="I75" i="4"/>
  <c r="H71" i="4"/>
  <c r="I71" i="4"/>
  <c r="I80" i="4" s="1"/>
  <c r="H53" i="4"/>
  <c r="H49" i="4"/>
  <c r="I49" i="4"/>
  <c r="H45" i="4"/>
  <c r="I45" i="4"/>
  <c r="H41" i="4"/>
  <c r="I41" i="4"/>
  <c r="F37" i="4"/>
  <c r="G37" i="4"/>
  <c r="H37" i="4"/>
  <c r="H33" i="4"/>
  <c r="I33" i="4"/>
  <c r="H29" i="4"/>
  <c r="I29" i="4"/>
  <c r="H25" i="4"/>
  <c r="I25" i="4"/>
  <c r="H21" i="4"/>
  <c r="I21" i="4"/>
  <c r="H17" i="4"/>
  <c r="I17" i="4"/>
  <c r="I14" i="2" l="1"/>
  <c r="I14" i="44"/>
  <c r="I13" i="2"/>
  <c r="I13" i="44"/>
  <c r="I11" i="44" s="1"/>
  <c r="H14" i="2"/>
  <c r="H11" i="2" s="1"/>
  <c r="H8" i="36" s="1"/>
  <c r="H14" i="44"/>
  <c r="H11" i="44" s="1"/>
  <c r="H10" i="44" s="1"/>
  <c r="H79" i="44" s="1"/>
  <c r="H87" i="44" s="1"/>
  <c r="H80" i="44" s="1"/>
  <c r="L77" i="1"/>
  <c r="I66" i="4"/>
  <c r="I12" i="1" s="1"/>
  <c r="H10" i="2"/>
  <c r="L432" i="4"/>
  <c r="O432" i="4" s="1"/>
  <c r="H66" i="4"/>
  <c r="H12" i="1" s="1"/>
  <c r="I13" i="1"/>
  <c r="H80" i="4"/>
  <c r="I105" i="17"/>
  <c r="J105" i="17"/>
  <c r="K105" i="17"/>
  <c r="L105" i="17"/>
  <c r="H105" i="17"/>
  <c r="I104" i="17"/>
  <c r="J104" i="17"/>
  <c r="K104" i="17"/>
  <c r="L104" i="17"/>
  <c r="I100" i="17"/>
  <c r="J100" i="17"/>
  <c r="K100" i="17"/>
  <c r="L100" i="17"/>
  <c r="I99" i="17"/>
  <c r="I308" i="3" s="1"/>
  <c r="I311" i="3" s="1"/>
  <c r="J99" i="17"/>
  <c r="K99" i="17"/>
  <c r="L99" i="17"/>
  <c r="I106" i="17"/>
  <c r="J106" i="17"/>
  <c r="K106" i="17"/>
  <c r="L106" i="17"/>
  <c r="I90" i="17"/>
  <c r="L90" i="17"/>
  <c r="H104" i="17"/>
  <c r="H100" i="17"/>
  <c r="H99" i="17"/>
  <c r="H92" i="17"/>
  <c r="I97" i="17"/>
  <c r="J97" i="17"/>
  <c r="K97" i="17"/>
  <c r="L97" i="17"/>
  <c r="I98" i="17"/>
  <c r="J98" i="17"/>
  <c r="K98" i="17"/>
  <c r="L98" i="17"/>
  <c r="H98" i="17"/>
  <c r="H97" i="17"/>
  <c r="J92" i="17"/>
  <c r="K92" i="17"/>
  <c r="L92" i="17"/>
  <c r="J67" i="17"/>
  <c r="K67" i="17"/>
  <c r="L67" i="17"/>
  <c r="I67" i="17"/>
  <c r="I71" i="17" s="1"/>
  <c r="I91" i="17"/>
  <c r="J91" i="17"/>
  <c r="K91" i="17"/>
  <c r="L91" i="17"/>
  <c r="H91" i="17"/>
  <c r="H90" i="17"/>
  <c r="H86" i="17"/>
  <c r="J86" i="17"/>
  <c r="K86" i="17"/>
  <c r="L86" i="17"/>
  <c r="H85" i="17"/>
  <c r="I85" i="17"/>
  <c r="I274" i="4" s="1"/>
  <c r="I277" i="4" s="1"/>
  <c r="I25" i="1" s="1"/>
  <c r="J85" i="17"/>
  <c r="K85" i="17"/>
  <c r="L85" i="17"/>
  <c r="L84" i="17"/>
  <c r="H84" i="17"/>
  <c r="I84" i="17"/>
  <c r="J84" i="17"/>
  <c r="K84" i="17"/>
  <c r="H83" i="17"/>
  <c r="I83" i="17"/>
  <c r="J83" i="17"/>
  <c r="K83" i="17"/>
  <c r="L83" i="17"/>
  <c r="H71" i="17"/>
  <c r="J71" i="17"/>
  <c r="K71" i="17"/>
  <c r="L71" i="17"/>
  <c r="H73" i="17"/>
  <c r="J73" i="17"/>
  <c r="K73" i="17"/>
  <c r="L73" i="17"/>
  <c r="H74" i="17"/>
  <c r="J74" i="17"/>
  <c r="K74" i="17"/>
  <c r="L74" i="17"/>
  <c r="J66" i="17"/>
  <c r="K65" i="17"/>
  <c r="J61" i="17"/>
  <c r="I66" i="17"/>
  <c r="H1" i="44" l="1"/>
  <c r="H93" i="44"/>
  <c r="H104" i="44" s="1"/>
  <c r="I26" i="2"/>
  <c r="I26" i="44"/>
  <c r="I10" i="44" s="1"/>
  <c r="I79" i="44" s="1"/>
  <c r="I87" i="44" s="1"/>
  <c r="I80" i="44" s="1"/>
  <c r="I11" i="2"/>
  <c r="I8" i="36" s="1"/>
  <c r="I35" i="30"/>
  <c r="I13" i="32"/>
  <c r="I28" i="34"/>
  <c r="I29" i="34" s="1"/>
  <c r="K13" i="35" s="1"/>
  <c r="I92" i="17"/>
  <c r="I96" i="4"/>
  <c r="I11" i="1"/>
  <c r="I9" i="32" s="1"/>
  <c r="H96" i="4"/>
  <c r="H13" i="1"/>
  <c r="H11" i="1" s="1"/>
  <c r="H9" i="32" s="1"/>
  <c r="H106" i="17"/>
  <c r="I73" i="17"/>
  <c r="I74" i="17"/>
  <c r="I65" i="17"/>
  <c r="I61" i="17"/>
  <c r="H65" i="17"/>
  <c r="H61" i="17"/>
  <c r="H60" i="17"/>
  <c r="I93" i="44" l="1"/>
  <c r="I104" i="44" s="1"/>
  <c r="I1" i="44"/>
  <c r="H107" i="44"/>
  <c r="I10" i="2"/>
  <c r="I15" i="35"/>
  <c r="K15" i="33"/>
  <c r="I36" i="30"/>
  <c r="L65" i="17"/>
  <c r="L63" i="17"/>
  <c r="K63" i="17"/>
  <c r="I63" i="17"/>
  <c r="H67" i="17"/>
  <c r="H63" i="17"/>
  <c r="I107" i="44" l="1"/>
  <c r="I105" i="44"/>
  <c r="I13" i="35"/>
  <c r="K13" i="33"/>
  <c r="E106" i="2"/>
  <c r="G106" i="2"/>
  <c r="G291" i="3" l="1"/>
  <c r="J291" i="3" s="1"/>
  <c r="J292" i="3" s="1"/>
  <c r="E292" i="3"/>
  <c r="F291" i="3"/>
  <c r="J288" i="3"/>
  <c r="K288" i="3"/>
  <c r="L288" i="3"/>
  <c r="Q288" i="3"/>
  <c r="Q293" i="3" s="1"/>
  <c r="M9" i="34" s="1"/>
  <c r="R288" i="3"/>
  <c r="R293" i="3" s="1"/>
  <c r="N9" i="34" s="1"/>
  <c r="S288" i="3"/>
  <c r="S293" i="3" s="1"/>
  <c r="O9" i="34" s="1"/>
  <c r="G288" i="3"/>
  <c r="E288" i="3"/>
  <c r="J284" i="3"/>
  <c r="J293" i="3" s="1"/>
  <c r="K284" i="3"/>
  <c r="L284" i="3"/>
  <c r="G284" i="3"/>
  <c r="E284" i="3"/>
  <c r="E293" i="3" s="1"/>
  <c r="F280" i="3"/>
  <c r="F296" i="3" s="1"/>
  <c r="F21" i="44" s="1"/>
  <c r="Q267" i="3"/>
  <c r="Q280" i="3" s="1"/>
  <c r="R267" i="3"/>
  <c r="R280" i="3" s="1"/>
  <c r="S267" i="3"/>
  <c r="S280" i="3" s="1"/>
  <c r="T267" i="3"/>
  <c r="G267" i="3"/>
  <c r="G280" i="3" s="1"/>
  <c r="E267" i="3"/>
  <c r="E280" i="3" s="1"/>
  <c r="O10" i="34" l="1"/>
  <c r="S296" i="3"/>
  <c r="M10" i="34"/>
  <c r="J29" i="2"/>
  <c r="J29" i="44"/>
  <c r="J28" i="44" s="1"/>
  <c r="J296" i="3"/>
  <c r="J21" i="44" s="1"/>
  <c r="N6" i="34"/>
  <c r="N29" i="34" s="1"/>
  <c r="N10" i="34"/>
  <c r="R296" i="3"/>
  <c r="G292" i="3"/>
  <c r="G293" i="3"/>
  <c r="G296" i="3" s="1"/>
  <c r="K291" i="3"/>
  <c r="L291" i="3" s="1"/>
  <c r="L292" i="3" s="1"/>
  <c r="L293" i="3" s="1"/>
  <c r="K292" i="3"/>
  <c r="E296" i="3"/>
  <c r="K293" i="3"/>
  <c r="J266" i="3"/>
  <c r="L29" i="2" l="1"/>
  <c r="L29" i="44"/>
  <c r="L28" i="44" s="1"/>
  <c r="K29" i="2"/>
  <c r="K29" i="44"/>
  <c r="K28" i="44" s="1"/>
  <c r="G21" i="2"/>
  <c r="G21" i="44"/>
  <c r="K266" i="3"/>
  <c r="J267" i="3"/>
  <c r="G19" i="3"/>
  <c r="E19" i="3"/>
  <c r="L266" i="3" l="1"/>
  <c r="L267" i="3" s="1"/>
  <c r="L280" i="3" s="1"/>
  <c r="K267" i="3"/>
  <c r="K280" i="3" s="1"/>
  <c r="L58" i="4"/>
  <c r="L53" i="4"/>
  <c r="L49" i="4"/>
  <c r="L45" i="4"/>
  <c r="L41" i="4"/>
  <c r="L33" i="4"/>
  <c r="L29" i="4"/>
  <c r="L25" i="4"/>
  <c r="L21" i="4"/>
  <c r="L66" i="4" s="1"/>
  <c r="K58" i="4"/>
  <c r="J58" i="4"/>
  <c r="K53" i="4"/>
  <c r="K49" i="4"/>
  <c r="K45" i="4"/>
  <c r="K41" i="4"/>
  <c r="K29" i="4"/>
  <c r="K33" i="4"/>
  <c r="K25" i="4"/>
  <c r="K21" i="4"/>
  <c r="K66" i="4" s="1"/>
  <c r="J53" i="4"/>
  <c r="J49" i="4"/>
  <c r="J45" i="4"/>
  <c r="J41" i="4"/>
  <c r="J29" i="4"/>
  <c r="J33" i="4"/>
  <c r="J25" i="4"/>
  <c r="J21" i="4"/>
  <c r="J66" i="4" s="1"/>
  <c r="G33" i="4"/>
  <c r="G53" i="4"/>
  <c r="G49" i="4"/>
  <c r="G45" i="4"/>
  <c r="G41" i="4"/>
  <c r="G29" i="4"/>
  <c r="G25" i="4"/>
  <c r="G21" i="4"/>
  <c r="G66" i="4" s="1"/>
  <c r="L12" i="1" l="1"/>
  <c r="K12" i="1"/>
  <c r="J12" i="1"/>
  <c r="B11" i="12"/>
  <c r="B9" i="12"/>
  <c r="B10" i="12" s="1"/>
  <c r="J9" i="36" l="1"/>
  <c r="K22" i="2"/>
  <c r="K9" i="36" s="1"/>
  <c r="B13" i="12"/>
  <c r="K295" i="3"/>
  <c r="J94" i="1"/>
  <c r="L22" i="2" l="1"/>
  <c r="L9" i="36" s="1"/>
  <c r="L295" i="3"/>
  <c r="B15" i="12"/>
  <c r="G12" i="1"/>
  <c r="I23" i="5"/>
  <c r="J23" i="5"/>
  <c r="K23" i="5"/>
  <c r="H23" i="5"/>
  <c r="L351" i="3"/>
  <c r="K36" i="2"/>
  <c r="K351" i="3"/>
  <c r="G351" i="3"/>
  <c r="L36" i="2" l="1"/>
  <c r="L36" i="44"/>
  <c r="L34" i="44" s="1"/>
  <c r="E325" i="3"/>
  <c r="E291" i="4"/>
  <c r="F13" i="12" l="1"/>
  <c r="K296" i="3"/>
  <c r="L296" i="3"/>
  <c r="F32" i="5"/>
  <c r="K21" i="5"/>
  <c r="J21" i="5"/>
  <c r="I21" i="5"/>
  <c r="F79" i="2" l="1"/>
  <c r="K57" i="2"/>
  <c r="L57" i="2"/>
  <c r="J57" i="2"/>
  <c r="G66" i="2" l="1"/>
  <c r="G497" i="3"/>
  <c r="F497" i="3"/>
  <c r="E497" i="3"/>
  <c r="G65" i="2" l="1"/>
  <c r="G60" i="44"/>
  <c r="J66" i="2"/>
  <c r="F78" i="2"/>
  <c r="F76" i="2"/>
  <c r="F75" i="2"/>
  <c r="F31" i="2"/>
  <c r="F30" i="2"/>
  <c r="F21" i="2"/>
  <c r="F19" i="2"/>
  <c r="E229" i="3"/>
  <c r="F16" i="2"/>
  <c r="F14" i="2"/>
  <c r="F45" i="3"/>
  <c r="F41" i="3"/>
  <c r="F37" i="3"/>
  <c r="F46" i="3" l="1"/>
  <c r="F13" i="44" s="1"/>
  <c r="F74" i="2"/>
  <c r="F57" i="2"/>
  <c r="F13" i="2"/>
  <c r="E90" i="2"/>
  <c r="G90" i="2" s="1"/>
  <c r="E90" i="1"/>
  <c r="D79" i="2"/>
  <c r="E66" i="2"/>
  <c r="E57" i="2"/>
  <c r="E31" i="2"/>
  <c r="E30" i="2"/>
  <c r="E29" i="2"/>
  <c r="E26" i="2"/>
  <c r="D76" i="2"/>
  <c r="D77" i="2"/>
  <c r="D78" i="2"/>
  <c r="D75" i="2"/>
  <c r="D71" i="2"/>
  <c r="D72" i="2"/>
  <c r="D73" i="2"/>
  <c r="D57" i="2"/>
  <c r="I90" i="2" l="1"/>
  <c r="K20" i="35" s="1"/>
  <c r="J90" i="2"/>
  <c r="D343" i="3"/>
  <c r="D35" i="2" s="1"/>
  <c r="D351" i="3"/>
  <c r="D36" i="2"/>
  <c r="D27" i="2"/>
  <c r="D67" i="37" s="1"/>
  <c r="D31" i="2"/>
  <c r="D30" i="2"/>
  <c r="D25" i="2"/>
  <c r="D14" i="2"/>
  <c r="E45" i="4"/>
  <c r="E33" i="4"/>
  <c r="E49" i="4"/>
  <c r="E37" i="4"/>
  <c r="E29" i="4"/>
  <c r="E25" i="4"/>
  <c r="E21" i="4"/>
  <c r="E17" i="4"/>
  <c r="L20" i="35" l="1"/>
  <c r="K90" i="2"/>
  <c r="E66" i="4"/>
  <c r="G90" i="1"/>
  <c r="J90" i="1" s="1"/>
  <c r="L20" i="33" s="1"/>
  <c r="M20" i="35" l="1"/>
  <c r="L90" i="2"/>
  <c r="N20" i="35" s="1"/>
  <c r="K90" i="1"/>
  <c r="M20" i="33" s="1"/>
  <c r="G64" i="1"/>
  <c r="H64" i="1" s="1"/>
  <c r="H63" i="1" s="1"/>
  <c r="G34" i="1"/>
  <c r="K31" i="1"/>
  <c r="L31" i="1"/>
  <c r="G30" i="1"/>
  <c r="K28" i="1"/>
  <c r="L28" i="1"/>
  <c r="D61" i="17"/>
  <c r="K21" i="1"/>
  <c r="L21" i="1"/>
  <c r="K18" i="1"/>
  <c r="L18" i="1"/>
  <c r="M38" i="1"/>
  <c r="K21" i="32" s="1"/>
  <c r="M99" i="1"/>
  <c r="M100" i="1"/>
  <c r="N39" i="1"/>
  <c r="O39" i="1"/>
  <c r="N48" i="1"/>
  <c r="O48" i="1"/>
  <c r="N55" i="1"/>
  <c r="O55" i="1"/>
  <c r="N63" i="1"/>
  <c r="O63" i="1"/>
  <c r="N65" i="1"/>
  <c r="O65" i="1"/>
  <c r="N85" i="1"/>
  <c r="O85" i="1"/>
  <c r="N94" i="1"/>
  <c r="O94" i="1"/>
  <c r="N116" i="1"/>
  <c r="N118" i="1" s="1"/>
  <c r="F101" i="1"/>
  <c r="F98" i="1"/>
  <c r="F85" i="1"/>
  <c r="F77" i="1"/>
  <c r="F76" i="1"/>
  <c r="F75" i="1"/>
  <c r="F73" i="1"/>
  <c r="F30" i="1"/>
  <c r="F27" i="1" s="1"/>
  <c r="F13" i="1"/>
  <c r="F12" i="1"/>
  <c r="F384" i="4"/>
  <c r="E30" i="1"/>
  <c r="E29" i="1"/>
  <c r="E386" i="4"/>
  <c r="E66" i="1" s="1"/>
  <c r="E65" i="1" s="1"/>
  <c r="E12" i="1"/>
  <c r="D80" i="1"/>
  <c r="D79" i="1"/>
  <c r="H22" i="32" l="1"/>
  <c r="H29" i="30"/>
  <c r="H36" i="30" s="1"/>
  <c r="J13" i="33" s="1"/>
  <c r="F72" i="1"/>
  <c r="M98" i="1"/>
  <c r="O116" i="1"/>
  <c r="N38" i="1"/>
  <c r="O15" i="1"/>
  <c r="O11" i="1"/>
  <c r="O38" i="1"/>
  <c r="N15" i="1"/>
  <c r="N11" i="1"/>
  <c r="E48" i="1"/>
  <c r="F48" i="1"/>
  <c r="D24" i="1" l="1"/>
  <c r="D23" i="1"/>
  <c r="D20" i="1"/>
  <c r="D16" i="1"/>
  <c r="L305" i="4" l="1"/>
  <c r="K305" i="4"/>
  <c r="J305" i="4"/>
  <c r="M305" i="4" s="1"/>
  <c r="M306" i="4" s="1"/>
  <c r="D306" i="4"/>
  <c r="E305" i="4"/>
  <c r="E55" i="1" s="1"/>
  <c r="D25" i="27"/>
  <c r="E25" i="27"/>
  <c r="F25" i="27"/>
  <c r="C23" i="27"/>
  <c r="D23" i="27" s="1"/>
  <c r="E23" i="27" s="1"/>
  <c r="F23" i="27" s="1"/>
  <c r="B20" i="27"/>
  <c r="B27" i="27" s="1"/>
  <c r="E306" i="4" l="1"/>
  <c r="C20" i="27"/>
  <c r="S426" i="3"/>
  <c r="L388" i="3"/>
  <c r="K412" i="3"/>
  <c r="J418" i="3"/>
  <c r="K418" i="3"/>
  <c r="L418" i="3"/>
  <c r="J406" i="3"/>
  <c r="K406" i="3"/>
  <c r="L406" i="3"/>
  <c r="S400" i="3"/>
  <c r="T400" i="3"/>
  <c r="S395" i="3"/>
  <c r="T395" i="3"/>
  <c r="S396" i="3"/>
  <c r="T396" i="3"/>
  <c r="S397" i="3"/>
  <c r="T397" i="3"/>
  <c r="S398" i="3"/>
  <c r="T398" i="3"/>
  <c r="S399" i="3"/>
  <c r="T399" i="3"/>
  <c r="J388" i="3"/>
  <c r="K388" i="3"/>
  <c r="J399" i="3"/>
  <c r="K381" i="3" s="1"/>
  <c r="J398" i="3"/>
  <c r="K380" i="3" s="1"/>
  <c r="J396" i="3"/>
  <c r="K378" i="3" s="1"/>
  <c r="G393" i="3"/>
  <c r="G392" i="3"/>
  <c r="G391" i="3"/>
  <c r="G390" i="3"/>
  <c r="G389" i="3"/>
  <c r="G384" i="3"/>
  <c r="G396" i="3" s="1"/>
  <c r="G355" i="4"/>
  <c r="G387" i="3"/>
  <c r="G399" i="3" s="1"/>
  <c r="G386" i="3"/>
  <c r="G398" i="3" s="1"/>
  <c r="G385" i="3"/>
  <c r="G397" i="3" s="1"/>
  <c r="G383" i="3"/>
  <c r="G395" i="3" s="1"/>
  <c r="F387" i="3"/>
  <c r="F399" i="3" s="1"/>
  <c r="F386" i="3"/>
  <c r="F398" i="3" s="1"/>
  <c r="F385" i="3"/>
  <c r="F397" i="3" s="1"/>
  <c r="F384" i="3"/>
  <c r="F396" i="3" s="1"/>
  <c r="F383" i="3"/>
  <c r="K382" i="3"/>
  <c r="J376" i="3"/>
  <c r="G417" i="3"/>
  <c r="G416" i="3"/>
  <c r="G321" i="3" s="1"/>
  <c r="G30" i="2" s="1"/>
  <c r="G415" i="3"/>
  <c r="G414" i="3"/>
  <c r="G413" i="3"/>
  <c r="T394" i="3" l="1"/>
  <c r="S394" i="3"/>
  <c r="K424" i="3"/>
  <c r="M16" i="35"/>
  <c r="K398" i="3"/>
  <c r="L380" i="3" s="1"/>
  <c r="K399" i="3"/>
  <c r="L381" i="3" s="1"/>
  <c r="K396" i="3"/>
  <c r="L378" i="3" s="1"/>
  <c r="G68" i="2"/>
  <c r="L382" i="3"/>
  <c r="J382" i="3"/>
  <c r="J397" i="3"/>
  <c r="K379" i="3" s="1"/>
  <c r="J395" i="3"/>
  <c r="K377" i="3" s="1"/>
  <c r="K395" i="3" s="1"/>
  <c r="L377" i="3" s="1"/>
  <c r="L395" i="3" s="1"/>
  <c r="C27" i="27"/>
  <c r="D20" i="27"/>
  <c r="L398" i="3" l="1"/>
  <c r="L404" i="3" s="1"/>
  <c r="K404" i="3"/>
  <c r="L399" i="3"/>
  <c r="L405" i="3" s="1"/>
  <c r="K405" i="3"/>
  <c r="K397" i="3"/>
  <c r="K403" i="3" s="1"/>
  <c r="K376" i="3"/>
  <c r="L396" i="3"/>
  <c r="K402" i="3"/>
  <c r="J394" i="3"/>
  <c r="G305" i="4"/>
  <c r="E20" i="27"/>
  <c r="D27" i="27"/>
  <c r="F412" i="3"/>
  <c r="G412" i="3"/>
  <c r="J412" i="3"/>
  <c r="L412" i="3"/>
  <c r="N16" i="35" s="1"/>
  <c r="D412" i="3"/>
  <c r="J401" i="3"/>
  <c r="K401" i="3"/>
  <c r="J402" i="3"/>
  <c r="J403" i="3"/>
  <c r="J404" i="3"/>
  <c r="J405" i="3"/>
  <c r="D402" i="3"/>
  <c r="D403" i="3"/>
  <c r="D404" i="3"/>
  <c r="D405" i="3"/>
  <c r="F395" i="3"/>
  <c r="F401" i="3" s="1"/>
  <c r="G401" i="3"/>
  <c r="L401" i="3"/>
  <c r="D401" i="3"/>
  <c r="E391" i="3"/>
  <c r="E414" i="3"/>
  <c r="E393" i="3"/>
  <c r="E390" i="3"/>
  <c r="E389" i="3"/>
  <c r="E387" i="3"/>
  <c r="E385" i="3"/>
  <c r="E384" i="3"/>
  <c r="E383" i="3"/>
  <c r="E395" i="3" s="1"/>
  <c r="E401" i="3" s="1"/>
  <c r="J424" i="3" l="1"/>
  <c r="L16" i="35"/>
  <c r="L424" i="3"/>
  <c r="L379" i="3"/>
  <c r="K394" i="3"/>
  <c r="L402" i="3"/>
  <c r="E412" i="3"/>
  <c r="E68" i="2"/>
  <c r="E27" i="27"/>
  <c r="F20" i="27"/>
  <c r="F27" i="27" s="1"/>
  <c r="J400" i="3"/>
  <c r="K400" i="3"/>
  <c r="E382" i="3"/>
  <c r="E388" i="3"/>
  <c r="E396" i="3"/>
  <c r="E402" i="3" s="1"/>
  <c r="E397" i="3"/>
  <c r="E403" i="3" s="1"/>
  <c r="E398" i="3"/>
  <c r="E404" i="3" s="1"/>
  <c r="E399" i="3"/>
  <c r="E405" i="3" s="1"/>
  <c r="E406" i="3"/>
  <c r="E418" i="3"/>
  <c r="D376" i="3"/>
  <c r="L397" i="3" l="1"/>
  <c r="L394" i="3" s="1"/>
  <c r="L376" i="3"/>
  <c r="E394" i="3"/>
  <c r="E400" i="3"/>
  <c r="L65" i="1"/>
  <c r="L364" i="4"/>
  <c r="L363" i="4"/>
  <c r="L362" i="4"/>
  <c r="L361" i="4"/>
  <c r="L360" i="4"/>
  <c r="L369" i="4"/>
  <c r="L375" i="4" s="1"/>
  <c r="L368" i="4"/>
  <c r="L374" i="4" s="1"/>
  <c r="G370" i="4"/>
  <c r="F370" i="4"/>
  <c r="G29" i="1"/>
  <c r="G66" i="1"/>
  <c r="G65" i="1" s="1"/>
  <c r="G360" i="4"/>
  <c r="G361" i="4"/>
  <c r="G362" i="4"/>
  <c r="G363" i="4"/>
  <c r="E361" i="4"/>
  <c r="G376" i="4"/>
  <c r="G364" i="4"/>
  <c r="G358" i="4"/>
  <c r="G357" i="4"/>
  <c r="G356" i="4"/>
  <c r="G354" i="4"/>
  <c r="L403" i="3" l="1"/>
  <c r="L400" i="3" s="1"/>
  <c r="J65" i="1"/>
  <c r="K65" i="1"/>
  <c r="J376" i="4"/>
  <c r="L370" i="4" l="1"/>
  <c r="L376" i="4" s="1"/>
  <c r="E353" i="4"/>
  <c r="E367" i="4"/>
  <c r="E368" i="4"/>
  <c r="E369" i="4"/>
  <c r="E375" i="4" s="1"/>
  <c r="E366" i="4"/>
  <c r="E372" i="4" s="1"/>
  <c r="E376" i="4"/>
  <c r="F376" i="4"/>
  <c r="D373" i="4"/>
  <c r="D374" i="4"/>
  <c r="D375" i="4"/>
  <c r="D372" i="4"/>
  <c r="E373" i="4"/>
  <c r="E364" i="4"/>
  <c r="K383" i="4"/>
  <c r="M16" i="33" s="1"/>
  <c r="L383" i="4"/>
  <c r="N16" i="33" s="1"/>
  <c r="K377" i="4"/>
  <c r="L377" i="4"/>
  <c r="E359" i="4"/>
  <c r="G359" i="4"/>
  <c r="J359" i="4"/>
  <c r="K359" i="4"/>
  <c r="L359" i="4"/>
  <c r="D359" i="4"/>
  <c r="D365" i="4"/>
  <c r="E377" i="4"/>
  <c r="F377" i="4"/>
  <c r="G377" i="4"/>
  <c r="J377" i="4"/>
  <c r="D377" i="4"/>
  <c r="E389" i="4"/>
  <c r="F389" i="4"/>
  <c r="G389" i="4"/>
  <c r="D389" i="4"/>
  <c r="E383" i="4"/>
  <c r="G383" i="4"/>
  <c r="J383" i="4"/>
  <c r="L16" i="33" s="1"/>
  <c r="D383" i="4"/>
  <c r="G353" i="4"/>
  <c r="J353" i="4"/>
  <c r="K353" i="4"/>
  <c r="L353" i="4"/>
  <c r="D353" i="4"/>
  <c r="G347" i="4"/>
  <c r="D347" i="4"/>
  <c r="G395" i="4" l="1"/>
  <c r="L395" i="4"/>
  <c r="D395" i="4"/>
  <c r="J395" i="4"/>
  <c r="K395" i="4"/>
  <c r="E395" i="4"/>
  <c r="E374" i="4"/>
  <c r="E365" i="4"/>
  <c r="E343" i="3" l="1"/>
  <c r="E35" i="2" s="1"/>
  <c r="E313" i="4"/>
  <c r="E33" i="1" l="1"/>
  <c r="M313" i="4"/>
  <c r="D359" i="3"/>
  <c r="D360" i="3" s="1"/>
  <c r="D358" i="3" s="1"/>
  <c r="E351" i="3"/>
  <c r="E321" i="4"/>
  <c r="E34" i="1" l="1"/>
  <c r="E363" i="3"/>
  <c r="E36" i="2"/>
  <c r="E352" i="3"/>
  <c r="G325" i="3"/>
  <c r="J325" i="3" l="1"/>
  <c r="G31" i="2"/>
  <c r="L26" i="2"/>
  <c r="L28" i="34" s="1"/>
  <c r="K26" i="2"/>
  <c r="K28" i="34" s="1"/>
  <c r="E309" i="3"/>
  <c r="G309" i="3"/>
  <c r="G308" i="3"/>
  <c r="E306" i="3"/>
  <c r="E305" i="3"/>
  <c r="K325" i="3" l="1"/>
  <c r="K31" i="2" s="1"/>
  <c r="K19" i="36" s="1"/>
  <c r="J31" i="2"/>
  <c r="J19" i="36" s="1"/>
  <c r="J26" i="2"/>
  <c r="J28" i="34" s="1"/>
  <c r="J29" i="34" s="1"/>
  <c r="L13" i="35" s="1"/>
  <c r="E308" i="3"/>
  <c r="E307" i="3"/>
  <c r="F311" i="3"/>
  <c r="D311" i="3"/>
  <c r="D26" i="2" s="1"/>
  <c r="D292" i="3"/>
  <c r="D288" i="3"/>
  <c r="D284" i="3"/>
  <c r="D271" i="3"/>
  <c r="D265" i="3"/>
  <c r="D267" i="3" s="1"/>
  <c r="J237" i="3"/>
  <c r="S229" i="3"/>
  <c r="G235" i="3"/>
  <c r="D237" i="3"/>
  <c r="E235" i="3"/>
  <c r="L325" i="3" l="1"/>
  <c r="L31" i="2" s="1"/>
  <c r="L19" i="36" s="1"/>
  <c r="D280" i="3"/>
  <c r="D293" i="3"/>
  <c r="K236" i="3"/>
  <c r="S55" i="3"/>
  <c r="J54" i="3"/>
  <c r="K54" i="3" s="1"/>
  <c r="J50" i="3"/>
  <c r="K50" i="3" s="1"/>
  <c r="L50" i="3" s="1"/>
  <c r="L51" i="3" s="1"/>
  <c r="J49" i="3"/>
  <c r="G53" i="3"/>
  <c r="J53" i="3" s="1"/>
  <c r="K53" i="3" s="1"/>
  <c r="L53" i="3" s="1"/>
  <c r="E53" i="3"/>
  <c r="E49" i="3"/>
  <c r="E55" i="3"/>
  <c r="E50" i="3"/>
  <c r="J84" i="4"/>
  <c r="K84" i="4" s="1"/>
  <c r="L84" i="4" s="1"/>
  <c r="J44" i="3"/>
  <c r="K44" i="3" s="1"/>
  <c r="L44" i="3" s="1"/>
  <c r="J40" i="3"/>
  <c r="K40" i="3" s="1"/>
  <c r="L40" i="3" s="1"/>
  <c r="J36" i="3"/>
  <c r="K36" i="3" s="1"/>
  <c r="L36" i="3" s="1"/>
  <c r="E43" i="3"/>
  <c r="G43" i="3" s="1"/>
  <c r="J43" i="3" s="1"/>
  <c r="E39" i="3"/>
  <c r="G39" i="3" s="1"/>
  <c r="E35" i="3"/>
  <c r="G35" i="3" s="1"/>
  <c r="G37" i="3" s="1"/>
  <c r="E44" i="3"/>
  <c r="E40" i="3"/>
  <c r="E36" i="3"/>
  <c r="D46" i="3"/>
  <c r="D13" i="2" s="1"/>
  <c r="D32" i="3"/>
  <c r="D12" i="2" s="1"/>
  <c r="E32" i="3"/>
  <c r="F32" i="3"/>
  <c r="G32" i="3"/>
  <c r="G12" i="2" l="1"/>
  <c r="G12" i="44"/>
  <c r="E12" i="2"/>
  <c r="E12" i="44"/>
  <c r="F12" i="2"/>
  <c r="F12" i="44"/>
  <c r="F11" i="44" s="1"/>
  <c r="D11" i="2"/>
  <c r="E37" i="3"/>
  <c r="E45" i="3"/>
  <c r="K237" i="3"/>
  <c r="L236" i="3"/>
  <c r="L237" i="3" s="1"/>
  <c r="E51" i="3"/>
  <c r="J51" i="3"/>
  <c r="J55" i="3"/>
  <c r="K43" i="3"/>
  <c r="J45" i="3"/>
  <c r="G41" i="3"/>
  <c r="J39" i="3"/>
  <c r="K55" i="3"/>
  <c r="G45" i="3"/>
  <c r="J35" i="3"/>
  <c r="K49" i="3"/>
  <c r="K51" i="3" s="1"/>
  <c r="L54" i="3"/>
  <c r="L55" i="3" s="1"/>
  <c r="E41" i="3"/>
  <c r="E46" i="3" s="1"/>
  <c r="E13" i="2" l="1"/>
  <c r="E13" i="44"/>
  <c r="J56" i="3"/>
  <c r="J62" i="3" s="1"/>
  <c r="K56" i="3"/>
  <c r="J37" i="3"/>
  <c r="K35" i="3"/>
  <c r="G46" i="3"/>
  <c r="K45" i="3"/>
  <c r="L43" i="3"/>
  <c r="L45" i="3" s="1"/>
  <c r="J41" i="3"/>
  <c r="K39" i="3"/>
  <c r="G13" i="2" l="1"/>
  <c r="G13" i="44"/>
  <c r="J46" i="3"/>
  <c r="L35" i="3"/>
  <c r="L37" i="3" s="1"/>
  <c r="K37" i="3"/>
  <c r="K41" i="3"/>
  <c r="L39" i="3"/>
  <c r="L41" i="3" s="1"/>
  <c r="J13" i="2" l="1"/>
  <c r="J13" i="44"/>
  <c r="L46" i="3"/>
  <c r="K46" i="3"/>
  <c r="L13" i="2" l="1"/>
  <c r="L13" i="44"/>
  <c r="K13" i="2"/>
  <c r="K13" i="44"/>
  <c r="D227" i="8"/>
  <c r="L96" i="8" l="1"/>
  <c r="K96" i="8"/>
  <c r="J96" i="8"/>
  <c r="E84" i="8"/>
  <c r="E81" i="8"/>
  <c r="E78" i="8"/>
  <c r="G234" i="8" l="1"/>
  <c r="G240" i="8"/>
  <c r="G243" i="8"/>
  <c r="F247" i="8"/>
  <c r="G247" i="8"/>
  <c r="J247" i="8"/>
  <c r="K247" i="8"/>
  <c r="L247" i="8"/>
  <c r="E247" i="8"/>
  <c r="J243" i="8"/>
  <c r="O241" i="8"/>
  <c r="N241" i="8"/>
  <c r="M241" i="8"/>
  <c r="G241" i="8"/>
  <c r="F241" i="8"/>
  <c r="F246" i="8" s="1"/>
  <c r="E241" i="8"/>
  <c r="D241" i="8"/>
  <c r="G206" i="8"/>
  <c r="G203" i="8"/>
  <c r="G200" i="8"/>
  <c r="G209" i="8"/>
  <c r="G207" i="8" s="1"/>
  <c r="F214" i="8"/>
  <c r="G214" i="8"/>
  <c r="J214" i="8"/>
  <c r="M214" i="8" s="1"/>
  <c r="K214" i="8"/>
  <c r="L214" i="8"/>
  <c r="E214" i="8"/>
  <c r="G212" i="8"/>
  <c r="J212" i="8" s="1"/>
  <c r="O210" i="8"/>
  <c r="N210" i="8"/>
  <c r="G210" i="8"/>
  <c r="F210" i="8"/>
  <c r="E210" i="8"/>
  <c r="D210" i="8"/>
  <c r="G148" i="8"/>
  <c r="J148" i="8" s="1"/>
  <c r="M148" i="8" s="1"/>
  <c r="O146" i="8"/>
  <c r="N146" i="8"/>
  <c r="G146" i="8"/>
  <c r="F146" i="8"/>
  <c r="E146" i="8"/>
  <c r="D146" i="8"/>
  <c r="G190" i="8"/>
  <c r="J190" i="8" s="1"/>
  <c r="M190" i="8" s="1"/>
  <c r="O188" i="8"/>
  <c r="N188" i="8"/>
  <c r="M188" i="8"/>
  <c r="F188" i="8"/>
  <c r="E188" i="8"/>
  <c r="D188" i="8"/>
  <c r="D226" i="8"/>
  <c r="J240" i="8"/>
  <c r="O238" i="8"/>
  <c r="N238" i="8"/>
  <c r="M238" i="8"/>
  <c r="G238" i="8"/>
  <c r="F238" i="8"/>
  <c r="E238" i="8"/>
  <c r="D238" i="8"/>
  <c r="G237" i="8"/>
  <c r="J237" i="8" s="1"/>
  <c r="O235" i="8"/>
  <c r="N235" i="8"/>
  <c r="M235" i="8"/>
  <c r="F235" i="8"/>
  <c r="E235" i="8"/>
  <c r="D235" i="8"/>
  <c r="J234" i="8"/>
  <c r="O232" i="8"/>
  <c r="N232" i="8"/>
  <c r="M232" i="8"/>
  <c r="F232" i="8"/>
  <c r="E232" i="8"/>
  <c r="D232" i="8"/>
  <c r="G231" i="8"/>
  <c r="J231" i="8" s="1"/>
  <c r="O229" i="8"/>
  <c r="N229" i="8"/>
  <c r="M229" i="8"/>
  <c r="F229" i="8"/>
  <c r="E229" i="8"/>
  <c r="D229" i="8"/>
  <c r="J206" i="8"/>
  <c r="J203" i="8"/>
  <c r="J200" i="8"/>
  <c r="O207" i="8"/>
  <c r="N207" i="8"/>
  <c r="F207" i="8"/>
  <c r="E207" i="8"/>
  <c r="D207" i="8"/>
  <c r="E204" i="8"/>
  <c r="E159" i="8"/>
  <c r="F198" i="8"/>
  <c r="K203" i="8" l="1"/>
  <c r="L203" i="8" s="1"/>
  <c r="M203" i="8"/>
  <c r="K200" i="8"/>
  <c r="L200" i="8" s="1"/>
  <c r="L198" i="8" s="1"/>
  <c r="M200" i="8"/>
  <c r="K206" i="8"/>
  <c r="L206" i="8" s="1"/>
  <c r="M206" i="8"/>
  <c r="K212" i="8"/>
  <c r="L212" i="8" s="1"/>
  <c r="M212" i="8"/>
  <c r="G232" i="8"/>
  <c r="E246" i="8"/>
  <c r="G235" i="8"/>
  <c r="E248" i="8"/>
  <c r="G229" i="8"/>
  <c r="K243" i="8"/>
  <c r="L243" i="8" s="1"/>
  <c r="J241" i="8"/>
  <c r="J210" i="8"/>
  <c r="M210" i="8" s="1"/>
  <c r="K148" i="8"/>
  <c r="J146" i="8"/>
  <c r="M146" i="8" s="1"/>
  <c r="K190" i="8"/>
  <c r="J188" i="8"/>
  <c r="G188" i="8"/>
  <c r="J209" i="8"/>
  <c r="K231" i="8"/>
  <c r="J229" i="8"/>
  <c r="K234" i="8"/>
  <c r="J232" i="8"/>
  <c r="K237" i="8"/>
  <c r="J235" i="8"/>
  <c r="K240" i="8"/>
  <c r="L240" i="8" s="1"/>
  <c r="J238" i="8"/>
  <c r="K238" i="8" s="1"/>
  <c r="L238" i="8" s="1"/>
  <c r="J198" i="8"/>
  <c r="M198" i="8" s="1"/>
  <c r="G198" i="8"/>
  <c r="F191" i="8"/>
  <c r="G187" i="8"/>
  <c r="J187" i="8" s="1"/>
  <c r="M187" i="8" s="1"/>
  <c r="O185" i="8"/>
  <c r="N185" i="8"/>
  <c r="M185" i="8"/>
  <c r="G185" i="8"/>
  <c r="F185" i="8"/>
  <c r="E185" i="8"/>
  <c r="D185" i="8"/>
  <c r="G184" i="8"/>
  <c r="J184" i="8" s="1"/>
  <c r="M184" i="8" s="1"/>
  <c r="O182" i="8"/>
  <c r="N182" i="8"/>
  <c r="M182" i="8"/>
  <c r="F182" i="8"/>
  <c r="E182" i="8"/>
  <c r="D182" i="8"/>
  <c r="G181" i="8"/>
  <c r="J181" i="8" s="1"/>
  <c r="M181" i="8" s="1"/>
  <c r="M179" i="8" s="1"/>
  <c r="O179" i="8"/>
  <c r="N179" i="8"/>
  <c r="G179" i="8"/>
  <c r="F179" i="8"/>
  <c r="E179" i="8"/>
  <c r="D179" i="8"/>
  <c r="G178" i="8"/>
  <c r="J178" i="8" s="1"/>
  <c r="M178" i="8" s="1"/>
  <c r="M176" i="8" s="1"/>
  <c r="O176" i="8"/>
  <c r="N176" i="8"/>
  <c r="G176" i="8"/>
  <c r="F176" i="8"/>
  <c r="E176" i="8"/>
  <c r="D176" i="8"/>
  <c r="G175" i="8"/>
  <c r="J175" i="8" s="1"/>
  <c r="M175" i="8" s="1"/>
  <c r="M173" i="8" s="1"/>
  <c r="O173" i="8"/>
  <c r="N173" i="8"/>
  <c r="G173" i="8"/>
  <c r="F173" i="8"/>
  <c r="E173" i="8"/>
  <c r="D173" i="8"/>
  <c r="G172" i="8"/>
  <c r="J172" i="8" s="1"/>
  <c r="M172" i="8" s="1"/>
  <c r="M170" i="8" s="1"/>
  <c r="O170" i="8"/>
  <c r="N170" i="8"/>
  <c r="G170" i="8"/>
  <c r="F170" i="8"/>
  <c r="E170" i="8"/>
  <c r="D170" i="8"/>
  <c r="G169" i="8"/>
  <c r="J169" i="8" s="1"/>
  <c r="M169" i="8" s="1"/>
  <c r="M167" i="8" s="1"/>
  <c r="O167" i="8"/>
  <c r="N167" i="8"/>
  <c r="G167" i="8"/>
  <c r="F167" i="8"/>
  <c r="E167" i="8"/>
  <c r="D167" i="8"/>
  <c r="G166" i="8"/>
  <c r="J166" i="8" s="1"/>
  <c r="M166" i="8" s="1"/>
  <c r="M164" i="8" s="1"/>
  <c r="O164" i="8"/>
  <c r="N164" i="8"/>
  <c r="G164" i="8"/>
  <c r="F164" i="8"/>
  <c r="E164" i="8"/>
  <c r="D164" i="8"/>
  <c r="G163" i="8"/>
  <c r="J163" i="8" s="1"/>
  <c r="M163" i="8" s="1"/>
  <c r="M161" i="8" s="1"/>
  <c r="O161" i="8"/>
  <c r="N161" i="8"/>
  <c r="F161" i="8"/>
  <c r="E161" i="8"/>
  <c r="D161" i="8"/>
  <c r="G160" i="8"/>
  <c r="J160" i="8" s="1"/>
  <c r="M160" i="8" s="1"/>
  <c r="M158" i="8" s="1"/>
  <c r="O158" i="8"/>
  <c r="N158" i="8"/>
  <c r="F158" i="8"/>
  <c r="E158" i="8"/>
  <c r="D158" i="8"/>
  <c r="E143" i="8"/>
  <c r="G145" i="8"/>
  <c r="J145" i="8" s="1"/>
  <c r="M145" i="8" s="1"/>
  <c r="O143" i="8"/>
  <c r="N143" i="8"/>
  <c r="G143" i="8"/>
  <c r="F143" i="8"/>
  <c r="D143" i="8"/>
  <c r="G142" i="8"/>
  <c r="J142" i="8" s="1"/>
  <c r="M142" i="8" s="1"/>
  <c r="O140" i="8"/>
  <c r="N140" i="8"/>
  <c r="G140" i="8"/>
  <c r="F140" i="8"/>
  <c r="E140" i="8"/>
  <c r="D140" i="8"/>
  <c r="G139" i="8"/>
  <c r="J139" i="8" s="1"/>
  <c r="M139" i="8" s="1"/>
  <c r="O137" i="8"/>
  <c r="N137" i="8"/>
  <c r="F137" i="8"/>
  <c r="E137" i="8"/>
  <c r="D137" i="8"/>
  <c r="G136" i="8"/>
  <c r="J136" i="8" s="1"/>
  <c r="M136" i="8" s="1"/>
  <c r="O134" i="8"/>
  <c r="N134" i="8"/>
  <c r="F134" i="8"/>
  <c r="E134" i="8"/>
  <c r="D134" i="8"/>
  <c r="G133" i="8"/>
  <c r="J133" i="8" s="1"/>
  <c r="M133" i="8" s="1"/>
  <c r="O131" i="8"/>
  <c r="N131" i="8"/>
  <c r="F131" i="8"/>
  <c r="E131" i="8"/>
  <c r="D131" i="8"/>
  <c r="G130" i="8"/>
  <c r="J130" i="8" s="1"/>
  <c r="M130" i="8" s="1"/>
  <c r="O128" i="8"/>
  <c r="N128" i="8"/>
  <c r="F128" i="8"/>
  <c r="E128" i="8"/>
  <c r="D128" i="8"/>
  <c r="E125" i="8"/>
  <c r="G127" i="8"/>
  <c r="J127" i="8" s="1"/>
  <c r="M127" i="8" s="1"/>
  <c r="O125" i="8"/>
  <c r="N125" i="8"/>
  <c r="G125" i="8"/>
  <c r="F125" i="8"/>
  <c r="D125" i="8"/>
  <c r="F122" i="8"/>
  <c r="G124" i="8"/>
  <c r="J124" i="8" s="1"/>
  <c r="O122" i="8"/>
  <c r="N122" i="8"/>
  <c r="E122" i="8"/>
  <c r="D122" i="8"/>
  <c r="G121" i="8"/>
  <c r="J121" i="8" s="1"/>
  <c r="M121" i="8" s="1"/>
  <c r="G118" i="8"/>
  <c r="J118" i="8" s="1"/>
  <c r="E117" i="8"/>
  <c r="K264" i="8"/>
  <c r="L264" i="8" s="1"/>
  <c r="K220" i="8"/>
  <c r="L220" i="8" s="1"/>
  <c r="K198" i="8" l="1"/>
  <c r="J207" i="8"/>
  <c r="M209" i="8"/>
  <c r="K118" i="8"/>
  <c r="M118" i="8"/>
  <c r="J122" i="8"/>
  <c r="M122" i="8" s="1"/>
  <c r="M124" i="8"/>
  <c r="G116" i="8"/>
  <c r="G161" i="8"/>
  <c r="F24" i="44"/>
  <c r="F24" i="2"/>
  <c r="G246" i="8"/>
  <c r="G248" i="8" s="1"/>
  <c r="K241" i="8"/>
  <c r="J246" i="8"/>
  <c r="J248" i="8" s="1"/>
  <c r="K210" i="8"/>
  <c r="L148" i="8"/>
  <c r="L146" i="8" s="1"/>
  <c r="K146" i="8"/>
  <c r="L190" i="8"/>
  <c r="L188" i="8" s="1"/>
  <c r="K188" i="8"/>
  <c r="K209" i="8"/>
  <c r="L209" i="8" s="1"/>
  <c r="L237" i="8"/>
  <c r="L235" i="8" s="1"/>
  <c r="K235" i="8"/>
  <c r="L234" i="8"/>
  <c r="L232" i="8" s="1"/>
  <c r="K232" i="8"/>
  <c r="L231" i="8"/>
  <c r="L229" i="8" s="1"/>
  <c r="K229" i="8"/>
  <c r="K160" i="8"/>
  <c r="L160" i="8" s="1"/>
  <c r="L158" i="8" s="1"/>
  <c r="J158" i="8"/>
  <c r="K166" i="8"/>
  <c r="J164" i="8"/>
  <c r="K169" i="8"/>
  <c r="J167" i="8"/>
  <c r="K184" i="8"/>
  <c r="J182" i="8"/>
  <c r="G182" i="8"/>
  <c r="K158" i="8"/>
  <c r="K163" i="8"/>
  <c r="J161" i="8"/>
  <c r="K178" i="8"/>
  <c r="J176" i="8"/>
  <c r="L166" i="8"/>
  <c r="L164" i="8" s="1"/>
  <c r="K164" i="8"/>
  <c r="L169" i="8"/>
  <c r="L167" i="8" s="1"/>
  <c r="K167" i="8"/>
  <c r="K172" i="8"/>
  <c r="J170" i="8"/>
  <c r="K175" i="8"/>
  <c r="J173" i="8"/>
  <c r="K181" i="8"/>
  <c r="J179" i="8"/>
  <c r="L184" i="8"/>
  <c r="L182" i="8" s="1"/>
  <c r="K182" i="8"/>
  <c r="K187" i="8"/>
  <c r="J185" i="8"/>
  <c r="J119" i="8"/>
  <c r="M119" i="8" s="1"/>
  <c r="K121" i="8"/>
  <c r="G119" i="8"/>
  <c r="G122" i="8"/>
  <c r="K145" i="8"/>
  <c r="J143" i="8"/>
  <c r="M143" i="8" s="1"/>
  <c r="K142" i="8"/>
  <c r="J140" i="8"/>
  <c r="M140" i="8" s="1"/>
  <c r="K139" i="8"/>
  <c r="J137" i="8"/>
  <c r="M137" i="8" s="1"/>
  <c r="G137" i="8"/>
  <c r="G134" i="8"/>
  <c r="K136" i="8"/>
  <c r="J134" i="8"/>
  <c r="M134" i="8" s="1"/>
  <c r="K133" i="8"/>
  <c r="J131" i="8"/>
  <c r="M131" i="8" s="1"/>
  <c r="G131" i="8"/>
  <c r="K130" i="8"/>
  <c r="J128" i="8"/>
  <c r="M128" i="8" s="1"/>
  <c r="G128" i="8"/>
  <c r="K127" i="8"/>
  <c r="J125" i="8"/>
  <c r="M125" i="8" s="1"/>
  <c r="K124" i="8"/>
  <c r="K122" i="8" s="1"/>
  <c r="K116" i="8"/>
  <c r="L118" i="8"/>
  <c r="L116" i="8" s="1"/>
  <c r="J116" i="8"/>
  <c r="M116" i="8" s="1"/>
  <c r="K156" i="8"/>
  <c r="K157" i="8"/>
  <c r="L157" i="8" s="1"/>
  <c r="J155" i="8"/>
  <c r="J191" i="8" s="1"/>
  <c r="K113" i="8"/>
  <c r="G155" i="8"/>
  <c r="G191" i="8" s="1"/>
  <c r="K207" i="8" l="1"/>
  <c r="L207" i="8" s="1"/>
  <c r="M207" i="8"/>
  <c r="J24" i="44"/>
  <c r="J24" i="2"/>
  <c r="J10" i="36" s="1"/>
  <c r="G24" i="44"/>
  <c r="G24" i="2"/>
  <c r="L241" i="8"/>
  <c r="L246" i="8" s="1"/>
  <c r="L248" i="8" s="1"/>
  <c r="K246" i="8"/>
  <c r="K248" i="8" s="1"/>
  <c r="L210" i="8"/>
  <c r="L187" i="8"/>
  <c r="L185" i="8" s="1"/>
  <c r="K185" i="8"/>
  <c r="L181" i="8"/>
  <c r="L179" i="8" s="1"/>
  <c r="K179" i="8"/>
  <c r="L175" i="8"/>
  <c r="L173" i="8" s="1"/>
  <c r="K173" i="8"/>
  <c r="L172" i="8"/>
  <c r="L170" i="8" s="1"/>
  <c r="K170" i="8"/>
  <c r="L178" i="8"/>
  <c r="L176" i="8" s="1"/>
  <c r="K176" i="8"/>
  <c r="L163" i="8"/>
  <c r="L161" i="8" s="1"/>
  <c r="K161" i="8"/>
  <c r="K119" i="8"/>
  <c r="L121" i="8"/>
  <c r="L119" i="8" s="1"/>
  <c r="L145" i="8"/>
  <c r="L143" i="8" s="1"/>
  <c r="K143" i="8"/>
  <c r="L142" i="8"/>
  <c r="L140" i="8" s="1"/>
  <c r="K140" i="8"/>
  <c r="L139" i="8"/>
  <c r="L137" i="8" s="1"/>
  <c r="K137" i="8"/>
  <c r="L136" i="8"/>
  <c r="L134" i="8" s="1"/>
  <c r="K134" i="8"/>
  <c r="L133" i="8"/>
  <c r="L131" i="8" s="1"/>
  <c r="K131" i="8"/>
  <c r="L130" i="8"/>
  <c r="L128" i="8" s="1"/>
  <c r="K128" i="8"/>
  <c r="L127" i="8"/>
  <c r="L125" i="8" s="1"/>
  <c r="K125" i="8"/>
  <c r="L124" i="8"/>
  <c r="L122" i="8" s="1"/>
  <c r="K155" i="8"/>
  <c r="K191" i="8" s="1"/>
  <c r="L156" i="8"/>
  <c r="L155" i="8" s="1"/>
  <c r="L191" i="8" s="1"/>
  <c r="E155" i="8"/>
  <c r="E191" i="8" s="1"/>
  <c r="D156" i="8"/>
  <c r="D157" i="8" s="1"/>
  <c r="D155" i="8" s="1"/>
  <c r="D191" i="8" s="1"/>
  <c r="K114" i="8"/>
  <c r="L114" i="8" s="1"/>
  <c r="J150" i="8"/>
  <c r="M150" i="8" s="1"/>
  <c r="M23" i="1" s="1"/>
  <c r="G112" i="8"/>
  <c r="E112" i="8"/>
  <c r="D150" i="8"/>
  <c r="E150" i="8" l="1"/>
  <c r="E23" i="1"/>
  <c r="G150" i="8"/>
  <c r="G23" i="1"/>
  <c r="D24" i="44"/>
  <c r="D24" i="2"/>
  <c r="E24" i="44"/>
  <c r="E24" i="2"/>
  <c r="K24" i="44"/>
  <c r="K24" i="2"/>
  <c r="K10" i="36" s="1"/>
  <c r="L24" i="44"/>
  <c r="L24" i="2"/>
  <c r="L10" i="36" s="1"/>
  <c r="K112" i="8"/>
  <c r="K23" i="1" s="1"/>
  <c r="L113" i="8"/>
  <c r="L112" i="8" s="1"/>
  <c r="L23" i="1" s="1"/>
  <c r="F468" i="4"/>
  <c r="F64" i="1" s="1"/>
  <c r="F63" i="1" s="1"/>
  <c r="E468" i="4"/>
  <c r="J13" i="15"/>
  <c r="I13" i="15"/>
  <c r="H13" i="15"/>
  <c r="G13" i="15"/>
  <c r="J9" i="15"/>
  <c r="I9" i="15"/>
  <c r="H9" i="15"/>
  <c r="G9" i="15"/>
  <c r="D38" i="44" l="1"/>
  <c r="D37" i="44" s="1"/>
  <c r="D34" i="44" s="1"/>
  <c r="D23" i="44"/>
  <c r="E64" i="1"/>
  <c r="E63" i="1" s="1"/>
  <c r="M468" i="4"/>
  <c r="L150" i="8"/>
  <c r="K150" i="8"/>
  <c r="E13" i="15"/>
  <c r="E9" i="15"/>
  <c r="F313" i="4" l="1"/>
  <c r="G313" i="4" s="1"/>
  <c r="D333" i="4"/>
  <c r="G317" i="4" l="1"/>
  <c r="G33" i="1"/>
  <c r="K291" i="4"/>
  <c r="K30" i="1" s="1"/>
  <c r="J30" i="1"/>
  <c r="J18" i="32" s="1"/>
  <c r="F317" i="4"/>
  <c r="F33" i="1"/>
  <c r="G254" i="4"/>
  <c r="J254" i="4"/>
  <c r="K254" i="4"/>
  <c r="L254" i="4"/>
  <c r="F251" i="4"/>
  <c r="F254" i="4" s="1"/>
  <c r="F262" i="4" s="1"/>
  <c r="G237" i="4"/>
  <c r="J237" i="4" s="1"/>
  <c r="K237" i="4" s="1"/>
  <c r="G233" i="4"/>
  <c r="J233" i="4" s="1"/>
  <c r="K233" i="4" s="1"/>
  <c r="F240" i="4"/>
  <c r="F20" i="1" s="1"/>
  <c r="E233" i="4"/>
  <c r="D240" i="4"/>
  <c r="E172" i="4"/>
  <c r="F97" i="4"/>
  <c r="J20" i="23"/>
  <c r="I20" i="23"/>
  <c r="J16" i="23"/>
  <c r="I16" i="23"/>
  <c r="J9" i="23"/>
  <c r="I9" i="23"/>
  <c r="J5" i="23"/>
  <c r="J26" i="23" s="1"/>
  <c r="I5" i="23"/>
  <c r="I26" i="23" s="1"/>
  <c r="I36" i="23" s="1"/>
  <c r="K306" i="4" l="1"/>
  <c r="L291" i="4"/>
  <c r="K238" i="4"/>
  <c r="L237" i="4"/>
  <c r="L238" i="4" s="1"/>
  <c r="K234" i="4"/>
  <c r="L233" i="4"/>
  <c r="L234" i="4" s="1"/>
  <c r="F14" i="1"/>
  <c r="I38" i="23"/>
  <c r="E57" i="3" s="1"/>
  <c r="E14" i="44" s="1"/>
  <c r="E11" i="44" s="1"/>
  <c r="I37" i="23"/>
  <c r="E91" i="4" s="1"/>
  <c r="G91" i="4" s="1"/>
  <c r="K91" i="4" s="1"/>
  <c r="L91" i="4" s="1"/>
  <c r="L97" i="4" l="1"/>
  <c r="L14" i="1" s="1"/>
  <c r="L240" i="4"/>
  <c r="K240" i="4"/>
  <c r="L306" i="4"/>
  <c r="L30" i="1"/>
  <c r="G57" i="3"/>
  <c r="G14" i="44" s="1"/>
  <c r="G11" i="44" s="1"/>
  <c r="E14" i="2"/>
  <c r="K97" i="4"/>
  <c r="K14" i="1" s="1"/>
  <c r="J88" i="4"/>
  <c r="J89" i="4" s="1"/>
  <c r="F89" i="4"/>
  <c r="G89" i="4"/>
  <c r="E89" i="4"/>
  <c r="L20" i="1" l="1"/>
  <c r="L10" i="30"/>
  <c r="K20" i="1"/>
  <c r="K10" i="30"/>
  <c r="J63" i="3"/>
  <c r="G14" i="2"/>
  <c r="K88" i="4"/>
  <c r="D89" i="4"/>
  <c r="J14" i="2" l="1"/>
  <c r="J14" i="44"/>
  <c r="J11" i="44" s="1"/>
  <c r="K57" i="3"/>
  <c r="K89" i="4"/>
  <c r="L88" i="4"/>
  <c r="L89" i="4" s="1"/>
  <c r="D85" i="4"/>
  <c r="E84" i="4"/>
  <c r="E83" i="4"/>
  <c r="K63" i="3" l="1"/>
  <c r="K62" i="3"/>
  <c r="G83" i="4"/>
  <c r="E85" i="4"/>
  <c r="L57" i="3"/>
  <c r="J78" i="4"/>
  <c r="K78" i="4" s="1"/>
  <c r="L78" i="4" s="1"/>
  <c r="J74" i="4"/>
  <c r="K74" i="4" s="1"/>
  <c r="L74" i="4" s="1"/>
  <c r="J70" i="4"/>
  <c r="K70" i="4" s="1"/>
  <c r="L70" i="4" s="1"/>
  <c r="F71" i="4"/>
  <c r="F75" i="4"/>
  <c r="F79" i="4"/>
  <c r="K14" i="2" l="1"/>
  <c r="K14" i="44"/>
  <c r="K11" i="44" s="1"/>
  <c r="J83" i="4"/>
  <c r="K83" i="4" s="1"/>
  <c r="L83" i="4" s="1"/>
  <c r="I83" i="4"/>
  <c r="E78" i="4"/>
  <c r="E77" i="4"/>
  <c r="G77" i="4" s="1"/>
  <c r="E74" i="4"/>
  <c r="E73" i="4"/>
  <c r="J73" i="4" s="1"/>
  <c r="M73" i="4" s="1"/>
  <c r="M75" i="4" s="1"/>
  <c r="M80" i="4" s="1"/>
  <c r="E70" i="4"/>
  <c r="E69" i="4"/>
  <c r="E71" i="4" l="1"/>
  <c r="J75" i="4"/>
  <c r="K73" i="4"/>
  <c r="E75" i="4"/>
  <c r="G69" i="4"/>
  <c r="J77" i="4"/>
  <c r="K77" i="4" s="1"/>
  <c r="L77" i="4" s="1"/>
  <c r="G79" i="4"/>
  <c r="E79" i="4"/>
  <c r="G73" i="4"/>
  <c r="G75" i="4" s="1"/>
  <c r="G71" i="4" l="1"/>
  <c r="G80" i="4" s="1"/>
  <c r="G13" i="1" s="1"/>
  <c r="J69" i="4"/>
  <c r="K75" i="4"/>
  <c r="L73" i="4"/>
  <c r="L75" i="4" s="1"/>
  <c r="E80" i="4"/>
  <c r="E13" i="1" s="1"/>
  <c r="J71" i="4" l="1"/>
  <c r="J80" i="4" s="1"/>
  <c r="J13" i="1" s="1"/>
  <c r="K69" i="4"/>
  <c r="K71" i="4" l="1"/>
  <c r="K80" i="4" s="1"/>
  <c r="L69" i="4"/>
  <c r="L71" i="4" s="1"/>
  <c r="L80" i="4" s="1"/>
  <c r="L96" i="4" l="1"/>
  <c r="L13" i="1"/>
  <c r="L11" i="1" s="1"/>
  <c r="K96" i="4"/>
  <c r="K13" i="1"/>
  <c r="K11" i="1" s="1"/>
  <c r="K217" i="4"/>
  <c r="F214" i="4"/>
  <c r="E214" i="4"/>
  <c r="G214" i="4"/>
  <c r="K214" i="4" l="1"/>
  <c r="L217" i="4"/>
  <c r="L218" i="4" s="1"/>
  <c r="K218" i="4"/>
  <c r="G210" i="4"/>
  <c r="E210" i="4"/>
  <c r="J172" i="4"/>
  <c r="J17" i="1" s="1"/>
  <c r="K170" i="4"/>
  <c r="K172" i="4" s="1"/>
  <c r="K17" i="1" s="1"/>
  <c r="L214" i="4" l="1"/>
  <c r="L170" i="4"/>
  <c r="L172" i="4" s="1"/>
  <c r="L17" i="1" s="1"/>
  <c r="G172" i="4"/>
  <c r="F172" i="4"/>
  <c r="D172" i="4"/>
  <c r="F210" i="4" l="1"/>
  <c r="J210" i="4"/>
  <c r="K210" i="4"/>
  <c r="K219" i="4" s="1"/>
  <c r="L210" i="4"/>
  <c r="L219" i="4" s="1"/>
  <c r="D210" i="4"/>
  <c r="K174" i="4"/>
  <c r="K177" i="4" s="1"/>
  <c r="K7" i="30" s="1"/>
  <c r="L174" i="4"/>
  <c r="L177" i="4" s="1"/>
  <c r="L7" i="30" s="1"/>
  <c r="L19" i="1" l="1"/>
  <c r="L8" i="30"/>
  <c r="K19" i="1"/>
  <c r="K8" i="30"/>
  <c r="I39" i="1" l="1"/>
  <c r="E39" i="1" l="1"/>
  <c r="I38" i="1"/>
  <c r="G39" i="1"/>
  <c r="I21" i="32" l="1"/>
  <c r="I24" i="32" s="1"/>
  <c r="G21" i="32"/>
  <c r="G24" i="32" s="1"/>
  <c r="H38" i="1"/>
  <c r="H21" i="32" s="1"/>
  <c r="H24" i="32" s="1"/>
  <c r="E38" i="1"/>
  <c r="L15" i="1"/>
  <c r="K15" i="1"/>
  <c r="F446" i="4" l="1"/>
  <c r="D437" i="4"/>
  <c r="D441" i="4"/>
  <c r="D434" i="4"/>
  <c r="L272" i="4"/>
  <c r="O272" i="4" s="1"/>
  <c r="L271" i="4"/>
  <c r="K272" i="4"/>
  <c r="N272" i="4" s="1"/>
  <c r="K271" i="4"/>
  <c r="J272" i="4"/>
  <c r="M272" i="4" s="1"/>
  <c r="J271" i="4"/>
  <c r="G275" i="4"/>
  <c r="G274" i="4"/>
  <c r="G272" i="4"/>
  <c r="G271" i="4"/>
  <c r="E275" i="4"/>
  <c r="E274" i="4"/>
  <c r="E273" i="4"/>
  <c r="E272" i="4"/>
  <c r="E271" i="4"/>
  <c r="D104" i="17"/>
  <c r="E104" i="17"/>
  <c r="F104" i="17"/>
  <c r="G104" i="17"/>
  <c r="C104" i="17"/>
  <c r="G100" i="17"/>
  <c r="D100" i="17"/>
  <c r="G307" i="3" s="1"/>
  <c r="E100" i="17"/>
  <c r="F100" i="17"/>
  <c r="D99" i="17"/>
  <c r="E99" i="17"/>
  <c r="F99" i="17"/>
  <c r="G99" i="17"/>
  <c r="D98" i="17"/>
  <c r="E98" i="17"/>
  <c r="F98" i="17"/>
  <c r="G98" i="17"/>
  <c r="C98" i="17"/>
  <c r="C99" i="17"/>
  <c r="C100" i="17"/>
  <c r="D97" i="17"/>
  <c r="E97" i="17"/>
  <c r="F97" i="17"/>
  <c r="G97" i="17"/>
  <c r="C97" i="17"/>
  <c r="D90" i="17"/>
  <c r="E90" i="17"/>
  <c r="F90" i="17"/>
  <c r="G90" i="17"/>
  <c r="D83" i="17"/>
  <c r="E83" i="17"/>
  <c r="F83" i="17"/>
  <c r="G83" i="17"/>
  <c r="D84" i="17"/>
  <c r="E84" i="17"/>
  <c r="F84" i="17"/>
  <c r="G84" i="17"/>
  <c r="D85" i="17"/>
  <c r="E85" i="17"/>
  <c r="F85" i="17"/>
  <c r="G85" i="17"/>
  <c r="D86" i="17"/>
  <c r="G273" i="4" s="1"/>
  <c r="E86" i="17"/>
  <c r="F86" i="17"/>
  <c r="G86" i="17"/>
  <c r="C90" i="17"/>
  <c r="C86" i="17"/>
  <c r="C85" i="17"/>
  <c r="C84" i="17"/>
  <c r="C83" i="17"/>
  <c r="F106" i="17"/>
  <c r="E106" i="17"/>
  <c r="D106" i="17"/>
  <c r="C106" i="17"/>
  <c r="F92" i="17"/>
  <c r="E92" i="17"/>
  <c r="D92" i="17"/>
  <c r="J277" i="4" l="1"/>
  <c r="J25" i="1" s="1"/>
  <c r="J13" i="32" s="1"/>
  <c r="M271" i="4"/>
  <c r="M277" i="4" s="1"/>
  <c r="K277" i="4"/>
  <c r="K25" i="1" s="1"/>
  <c r="N271" i="4"/>
  <c r="N277" i="4" s="1"/>
  <c r="L277" i="4"/>
  <c r="O271" i="4"/>
  <c r="O277" i="4" s="1"/>
  <c r="J35" i="30"/>
  <c r="L15" i="33" s="1"/>
  <c r="D446" i="4"/>
  <c r="C92" i="17"/>
  <c r="G106" i="17"/>
  <c r="G92" i="17"/>
  <c r="C119" i="26"/>
  <c r="G118" i="26"/>
  <c r="E118" i="26"/>
  <c r="C118" i="26"/>
  <c r="F118" i="26"/>
  <c r="D118" i="26"/>
  <c r="C102" i="26"/>
  <c r="E435" i="4" s="1"/>
  <c r="G73" i="26"/>
  <c r="F73" i="26"/>
  <c r="K35" i="30" l="1"/>
  <c r="M15" i="33" s="1"/>
  <c r="G100" i="26"/>
  <c r="L73" i="26"/>
  <c r="L100" i="26" s="1"/>
  <c r="F74" i="26"/>
  <c r="K73" i="26"/>
  <c r="K100" i="26" s="1"/>
  <c r="K74" i="26"/>
  <c r="K101" i="26" s="1"/>
  <c r="K434" i="4" s="1"/>
  <c r="G101" i="26"/>
  <c r="F100" i="26"/>
  <c r="G74" i="26"/>
  <c r="L74" i="26" s="1"/>
  <c r="L101" i="26" s="1"/>
  <c r="L434" i="4" s="1"/>
  <c r="O434" i="4" s="1"/>
  <c r="K433" i="4" l="1"/>
  <c r="N434" i="4"/>
  <c r="L433" i="4"/>
  <c r="O433" i="4" s="1"/>
  <c r="F101" i="26"/>
  <c r="E73" i="26"/>
  <c r="J73" i="26" s="1"/>
  <c r="J100" i="26" s="1"/>
  <c r="D73" i="26"/>
  <c r="K75" i="1" l="1"/>
  <c r="N433" i="4"/>
  <c r="L75" i="1"/>
  <c r="D100" i="26"/>
  <c r="D101" i="26" s="1"/>
  <c r="G433" i="4"/>
  <c r="D74" i="26"/>
  <c r="G434" i="4" s="1"/>
  <c r="E100" i="26"/>
  <c r="E74" i="26"/>
  <c r="J74" i="26" s="1"/>
  <c r="J101" i="26" s="1"/>
  <c r="J434" i="4" s="1"/>
  <c r="C81" i="26"/>
  <c r="C121" i="26"/>
  <c r="E467" i="3" s="1"/>
  <c r="C120" i="26"/>
  <c r="C100" i="26"/>
  <c r="C72" i="26"/>
  <c r="C68" i="26"/>
  <c r="E79" i="2" l="1"/>
  <c r="E74" i="44"/>
  <c r="J433" i="4"/>
  <c r="M434" i="4"/>
  <c r="C70" i="26"/>
  <c r="C82" i="26" s="1"/>
  <c r="C112" i="26"/>
  <c r="E75" i="2" s="1"/>
  <c r="C95" i="26"/>
  <c r="E78" i="2"/>
  <c r="C122" i="26"/>
  <c r="E101" i="26"/>
  <c r="E433" i="4"/>
  <c r="D81" i="26"/>
  <c r="C87" i="26"/>
  <c r="D68" i="26"/>
  <c r="C103" i="26"/>
  <c r="E436" i="4" s="1"/>
  <c r="E76" i="1" s="1"/>
  <c r="D76" i="26"/>
  <c r="D120" i="26" s="1"/>
  <c r="C99" i="26"/>
  <c r="D72" i="26"/>
  <c r="C74" i="26"/>
  <c r="C101" i="26" s="1"/>
  <c r="E434" i="4" s="1"/>
  <c r="C104" i="26"/>
  <c r="E437" i="4" s="1"/>
  <c r="E77" i="1" s="1"/>
  <c r="D77" i="26"/>
  <c r="D121" i="26" s="1"/>
  <c r="G466" i="3" s="1"/>
  <c r="G74" i="44" s="1"/>
  <c r="C78" i="26"/>
  <c r="L25" i="1"/>
  <c r="E74" i="17"/>
  <c r="G65" i="17"/>
  <c r="F65" i="17"/>
  <c r="E65" i="17"/>
  <c r="D65" i="17"/>
  <c r="C65" i="17"/>
  <c r="C61" i="17"/>
  <c r="C60" i="17"/>
  <c r="C59" i="17"/>
  <c r="C58" i="17"/>
  <c r="E61" i="17"/>
  <c r="D60" i="17"/>
  <c r="J75" i="1" l="1"/>
  <c r="M433" i="4"/>
  <c r="L35" i="30"/>
  <c r="N15" i="33" s="1"/>
  <c r="G465" i="3"/>
  <c r="D122" i="26"/>
  <c r="D70" i="26"/>
  <c r="D82" i="26" s="1"/>
  <c r="D95" i="26"/>
  <c r="D112" i="26"/>
  <c r="G460" i="3" s="1"/>
  <c r="E432" i="4"/>
  <c r="E75" i="1" s="1"/>
  <c r="C105" i="26"/>
  <c r="G79" i="2"/>
  <c r="G467" i="3"/>
  <c r="E430" i="4"/>
  <c r="C88" i="26"/>
  <c r="C91" i="26" s="1"/>
  <c r="E81" i="26"/>
  <c r="D104" i="26"/>
  <c r="G437" i="4" s="1"/>
  <c r="G77" i="1" s="1"/>
  <c r="E77" i="26"/>
  <c r="E121" i="26" s="1"/>
  <c r="D99" i="26"/>
  <c r="E72" i="26"/>
  <c r="D103" i="26"/>
  <c r="E76" i="26"/>
  <c r="E120" i="26" s="1"/>
  <c r="E122" i="26" s="1"/>
  <c r="D88" i="26"/>
  <c r="G430" i="4"/>
  <c r="G73" i="1" s="1"/>
  <c r="E68" i="26"/>
  <c r="F277" i="4"/>
  <c r="F25" i="1" s="1"/>
  <c r="G75" i="2" l="1"/>
  <c r="G70" i="44"/>
  <c r="G78" i="2"/>
  <c r="G73" i="44"/>
  <c r="E70" i="26"/>
  <c r="E82" i="26" s="1"/>
  <c r="J68" i="26"/>
  <c r="E112" i="26"/>
  <c r="E95" i="26"/>
  <c r="G432" i="4"/>
  <c r="G75" i="1" s="1"/>
  <c r="D105" i="26"/>
  <c r="E446" i="4"/>
  <c r="E73" i="1"/>
  <c r="G436" i="4"/>
  <c r="C90" i="26"/>
  <c r="D87" i="26"/>
  <c r="F81" i="26"/>
  <c r="D90" i="26"/>
  <c r="D91" i="26"/>
  <c r="F68" i="26"/>
  <c r="E104" i="26"/>
  <c r="F77" i="26"/>
  <c r="F121" i="26" s="1"/>
  <c r="E103" i="26"/>
  <c r="F76" i="26"/>
  <c r="F120" i="26" s="1"/>
  <c r="F122" i="26" s="1"/>
  <c r="E99" i="26"/>
  <c r="E105" i="26" s="1"/>
  <c r="F72" i="26"/>
  <c r="J82" i="26" l="1"/>
  <c r="J95" i="26"/>
  <c r="J112" i="26"/>
  <c r="F70" i="26"/>
  <c r="F82" i="26" s="1"/>
  <c r="K68" i="26"/>
  <c r="F95" i="26"/>
  <c r="F112" i="26"/>
  <c r="G446" i="4"/>
  <c r="G76" i="1"/>
  <c r="G81" i="26"/>
  <c r="G76" i="26"/>
  <c r="F103" i="26"/>
  <c r="F99" i="26"/>
  <c r="G72" i="26"/>
  <c r="G99" i="26" s="1"/>
  <c r="F104" i="26"/>
  <c r="G77" i="26"/>
  <c r="G68" i="26"/>
  <c r="E88" i="26"/>
  <c r="E87" i="26"/>
  <c r="J97" i="26" l="1"/>
  <c r="J105" i="26" s="1"/>
  <c r="J430" i="4"/>
  <c r="G70" i="26"/>
  <c r="G82" i="26" s="1"/>
  <c r="L68" i="26"/>
  <c r="G112" i="26"/>
  <c r="G95" i="26"/>
  <c r="F105" i="26"/>
  <c r="K70" i="26"/>
  <c r="K82" i="26" s="1"/>
  <c r="K112" i="26"/>
  <c r="K95" i="26"/>
  <c r="J114" i="26"/>
  <c r="J122" i="26" s="1"/>
  <c r="J88" i="26"/>
  <c r="J87" i="26"/>
  <c r="G104" i="26"/>
  <c r="G121" i="26"/>
  <c r="G103" i="26"/>
  <c r="G105" i="26" s="1"/>
  <c r="G120" i="26"/>
  <c r="G122" i="26" s="1"/>
  <c r="E91" i="26"/>
  <c r="E90" i="26"/>
  <c r="F88" i="26"/>
  <c r="F87" i="26"/>
  <c r="D271" i="4"/>
  <c r="J446" i="4" l="1"/>
  <c r="M446" i="4"/>
  <c r="K114" i="26"/>
  <c r="J90" i="26"/>
  <c r="J91" i="26"/>
  <c r="J476" i="3"/>
  <c r="K97" i="26"/>
  <c r="K105" i="26" s="1"/>
  <c r="K430" i="4"/>
  <c r="N446" i="4" s="1"/>
  <c r="K88" i="26"/>
  <c r="K87" i="26"/>
  <c r="L70" i="26"/>
  <c r="L82" i="26" s="1"/>
  <c r="L95" i="26"/>
  <c r="L112" i="26"/>
  <c r="F90" i="26"/>
  <c r="F91" i="26"/>
  <c r="G88" i="26"/>
  <c r="G87" i="26"/>
  <c r="B70" i="17"/>
  <c r="K122" i="26" l="1"/>
  <c r="K460" i="3"/>
  <c r="L97" i="26"/>
  <c r="L105" i="26" s="1"/>
  <c r="L430" i="4"/>
  <c r="O446" i="4" s="1"/>
  <c r="K446" i="4"/>
  <c r="L114" i="26"/>
  <c r="L88" i="26"/>
  <c r="L87" i="26"/>
  <c r="K91" i="26"/>
  <c r="K90" i="26"/>
  <c r="G90" i="26"/>
  <c r="G91" i="26"/>
  <c r="G67" i="17"/>
  <c r="G71" i="17" s="1"/>
  <c r="F67" i="17"/>
  <c r="F71" i="17" s="1"/>
  <c r="E67" i="17"/>
  <c r="E71" i="17" s="1"/>
  <c r="K476" i="3" l="1"/>
  <c r="R460" i="3"/>
  <c r="N15" i="34" s="1"/>
  <c r="N13" i="34" s="1"/>
  <c r="K70" i="44"/>
  <c r="K75" i="2"/>
  <c r="K15" i="34"/>
  <c r="K29" i="34" s="1"/>
  <c r="M13" i="35" s="1"/>
  <c r="L122" i="26"/>
  <c r="L460" i="3"/>
  <c r="L446" i="4"/>
  <c r="L90" i="26"/>
  <c r="L91" i="26"/>
  <c r="G73" i="17"/>
  <c r="G74" i="17"/>
  <c r="F74" i="17"/>
  <c r="F73" i="17"/>
  <c r="E73" i="17"/>
  <c r="D67" i="17"/>
  <c r="D71" i="17" s="1"/>
  <c r="D74" i="17" s="1"/>
  <c r="G63" i="17"/>
  <c r="S460" i="3" l="1"/>
  <c r="O15" i="34" s="1"/>
  <c r="O13" i="34" s="1"/>
  <c r="L70" i="44"/>
  <c r="L75" i="2"/>
  <c r="L15" i="34"/>
  <c r="L29" i="34" s="1"/>
  <c r="N13" i="35" s="1"/>
  <c r="C67" i="17"/>
  <c r="C71" i="17" s="1"/>
  <c r="C74" i="17" s="1"/>
  <c r="D73" i="17"/>
  <c r="D274" i="4"/>
  <c r="D273" i="4"/>
  <c r="D272" i="4"/>
  <c r="C73" i="17" l="1"/>
  <c r="G29" i="2" l="1"/>
  <c r="N29" i="2"/>
  <c r="O29" i="2"/>
  <c r="M31" i="18"/>
  <c r="J25" i="18"/>
  <c r="M41" i="18"/>
  <c r="M40" i="18"/>
  <c r="M30" i="2" l="1"/>
  <c r="M36" i="18" l="1"/>
  <c r="S237" i="3"/>
  <c r="T237" i="3"/>
  <c r="M30" i="18" l="1"/>
  <c r="M16" i="18"/>
  <c r="M38" i="18"/>
  <c r="O10" i="18"/>
  <c r="M32" i="18"/>
  <c r="M95" i="1"/>
  <c r="N27" i="18" l="1"/>
  <c r="M12" i="18"/>
  <c r="M29" i="18"/>
  <c r="J262" i="4"/>
  <c r="P116" i="1" l="1"/>
  <c r="Q430" i="3" l="1"/>
  <c r="R430" i="3"/>
  <c r="U430" i="3"/>
  <c r="D217" i="8"/>
  <c r="D221" i="8" l="1"/>
  <c r="D329" i="4" s="1"/>
  <c r="D330" i="4" s="1"/>
  <c r="D196" i="8"/>
  <c r="F85" i="2"/>
  <c r="F462" i="3"/>
  <c r="F463" i="3" s="1"/>
  <c r="G36" i="2"/>
  <c r="F351" i="3"/>
  <c r="F36" i="2" l="1"/>
  <c r="F36" i="44"/>
  <c r="B79" i="21"/>
  <c r="E72" i="21" l="1"/>
  <c r="E74" i="21" l="1"/>
  <c r="E81" i="21"/>
  <c r="F74" i="21"/>
  <c r="G74" i="21" s="1"/>
  <c r="H74" i="21" s="1"/>
  <c r="I74" i="21" s="1"/>
  <c r="F81" i="21"/>
  <c r="F82" i="21" s="1"/>
  <c r="F41" i="2"/>
  <c r="F67" i="1"/>
  <c r="G67" i="1"/>
  <c r="J67" i="1"/>
  <c r="K67" i="1"/>
  <c r="L67" i="1"/>
  <c r="C81" i="21"/>
  <c r="E82" i="21"/>
  <c r="E80" i="21" s="1"/>
  <c r="E83" i="21" s="1"/>
  <c r="D80" i="21"/>
  <c r="B80" i="21"/>
  <c r="G81" i="21" l="1"/>
  <c r="G82" i="21" s="1"/>
  <c r="H81" i="21"/>
  <c r="C82" i="21"/>
  <c r="C80" i="21" s="1"/>
  <c r="C83" i="21" s="1"/>
  <c r="C74" i="21"/>
  <c r="I81" i="21" l="1"/>
  <c r="I82" i="21" s="1"/>
  <c r="H82" i="21"/>
  <c r="F80" i="21"/>
  <c r="F83" i="21" s="1"/>
  <c r="D73" i="21"/>
  <c r="E75" i="21"/>
  <c r="F75" i="21" s="1"/>
  <c r="G75" i="21" s="1"/>
  <c r="H75" i="21" s="1"/>
  <c r="C75" i="21"/>
  <c r="C73" i="21" s="1"/>
  <c r="B73" i="21"/>
  <c r="H73" i="21" l="1"/>
  <c r="I75" i="21"/>
  <c r="I73" i="21" s="1"/>
  <c r="G80" i="21"/>
  <c r="G83" i="21" s="1"/>
  <c r="G73" i="21"/>
  <c r="F73" i="21"/>
  <c r="E73" i="21"/>
  <c r="E76" i="21" s="1"/>
  <c r="C76" i="21"/>
  <c r="G76" i="21"/>
  <c r="H76" i="21"/>
  <c r="I76" i="21"/>
  <c r="B45" i="21"/>
  <c r="C43" i="21" s="1"/>
  <c r="F22" i="23"/>
  <c r="F21" i="23"/>
  <c r="F20" i="23" s="1"/>
  <c r="E20" i="23"/>
  <c r="D20" i="23"/>
  <c r="C20" i="23"/>
  <c r="B20" i="23"/>
  <c r="F18" i="23"/>
  <c r="F17" i="23"/>
  <c r="E16" i="23"/>
  <c r="D16" i="23"/>
  <c r="C16" i="23"/>
  <c r="B16" i="23"/>
  <c r="F14" i="23"/>
  <c r="F10" i="23"/>
  <c r="H9" i="23"/>
  <c r="G9" i="23"/>
  <c r="E9" i="23"/>
  <c r="D9" i="23"/>
  <c r="C9" i="23"/>
  <c r="B9" i="23"/>
  <c r="F7" i="23"/>
  <c r="F6" i="23"/>
  <c r="F5" i="23" s="1"/>
  <c r="E5" i="23"/>
  <c r="E26" i="23" s="1"/>
  <c r="D5" i="23"/>
  <c r="D26" i="23" s="1"/>
  <c r="C5" i="23"/>
  <c r="C26" i="23" s="1"/>
  <c r="B5" i="23"/>
  <c r="B26" i="23" s="1"/>
  <c r="F16" i="23" l="1"/>
  <c r="C31" i="23"/>
  <c r="C44" i="21"/>
  <c r="F76" i="21"/>
  <c r="I80" i="21"/>
  <c r="I83" i="21" s="1"/>
  <c r="H80" i="21"/>
  <c r="H83" i="21" s="1"/>
  <c r="F9" i="23"/>
  <c r="F26" i="23" s="1"/>
  <c r="D28" i="2" l="1"/>
  <c r="D37" i="1"/>
  <c r="D39" i="2" l="1"/>
  <c r="D38" i="2"/>
  <c r="D23" i="2"/>
  <c r="D36" i="1"/>
  <c r="D37" i="2" l="1"/>
  <c r="E89" i="2"/>
  <c r="G89" i="2"/>
  <c r="K89" i="2"/>
  <c r="L89" i="2"/>
  <c r="D89" i="2"/>
  <c r="E89" i="1"/>
  <c r="G89" i="1"/>
  <c r="D89" i="1"/>
  <c r="K12" i="5" l="1"/>
  <c r="J12" i="5"/>
  <c r="F263" i="8"/>
  <c r="F491" i="3"/>
  <c r="G491" i="3"/>
  <c r="L491" i="3"/>
  <c r="Q491" i="3"/>
  <c r="F489" i="3"/>
  <c r="G489" i="3"/>
  <c r="L489" i="3"/>
  <c r="F483" i="3"/>
  <c r="G483" i="3"/>
  <c r="L483" i="3"/>
  <c r="Q483" i="3"/>
  <c r="R483" i="3"/>
  <c r="G27" i="3"/>
  <c r="E93" i="2" l="1"/>
  <c r="F93" i="2"/>
  <c r="G93" i="2"/>
  <c r="K93" i="2"/>
  <c r="L93" i="2"/>
  <c r="E94" i="1"/>
  <c r="G94" i="1"/>
  <c r="K94" i="1"/>
  <c r="L94" i="1"/>
  <c r="D88" i="1"/>
  <c r="G77" i="2"/>
  <c r="J69" i="2"/>
  <c r="K69" i="2"/>
  <c r="L69" i="2"/>
  <c r="F65" i="2"/>
  <c r="E65" i="2"/>
  <c r="L40" i="18"/>
  <c r="K40" i="18"/>
  <c r="J40" i="18"/>
  <c r="I40" i="18"/>
  <c r="K44" i="18" s="1"/>
  <c r="H40" i="18"/>
  <c r="G40" i="18"/>
  <c r="F40" i="18"/>
  <c r="E40" i="18"/>
  <c r="D40" i="18"/>
  <c r="L35" i="18"/>
  <c r="L37" i="18" s="1"/>
  <c r="K35" i="18"/>
  <c r="K37" i="18" s="1"/>
  <c r="J35" i="18"/>
  <c r="I35" i="18"/>
  <c r="I37" i="18" s="1"/>
  <c r="H35" i="18"/>
  <c r="H37" i="18" s="1"/>
  <c r="F35" i="18"/>
  <c r="F37" i="18" s="1"/>
  <c r="L29" i="18"/>
  <c r="L31" i="18" s="1"/>
  <c r="L33" i="18" s="1"/>
  <c r="K29" i="18"/>
  <c r="K31" i="18" s="1"/>
  <c r="K33" i="18" s="1"/>
  <c r="J29" i="18"/>
  <c r="J31" i="18" s="1"/>
  <c r="J33" i="18" s="1"/>
  <c r="I29" i="18"/>
  <c r="I31" i="18" s="1"/>
  <c r="I33" i="18" s="1"/>
  <c r="H29" i="18"/>
  <c r="H31" i="18" s="1"/>
  <c r="H33" i="18" s="1"/>
  <c r="F29" i="18"/>
  <c r="F31" i="18" s="1"/>
  <c r="F33" i="18" s="1"/>
  <c r="L26" i="18"/>
  <c r="K26" i="18"/>
  <c r="J26" i="18"/>
  <c r="I26" i="18"/>
  <c r="H26" i="18"/>
  <c r="F26" i="18"/>
  <c r="L25" i="18"/>
  <c r="K25" i="18"/>
  <c r="I25" i="18"/>
  <c r="H25" i="18"/>
  <c r="F25" i="18"/>
  <c r="L22" i="18"/>
  <c r="K22" i="18"/>
  <c r="J22" i="18"/>
  <c r="I22" i="18"/>
  <c r="H22" i="18"/>
  <c r="F22" i="18"/>
  <c r="L15" i="18"/>
  <c r="K15" i="18"/>
  <c r="J15" i="18"/>
  <c r="I15" i="18"/>
  <c r="H15" i="18"/>
  <c r="F15" i="18"/>
  <c r="F63" i="17"/>
  <c r="D63" i="17"/>
  <c r="C62" i="17"/>
  <c r="J28" i="2" l="1"/>
  <c r="J37" i="18"/>
  <c r="M37" i="18" s="1"/>
  <c r="M35" i="18"/>
  <c r="M15" i="18" s="1"/>
  <c r="M17" i="18" s="1"/>
  <c r="M25" i="18" s="1"/>
  <c r="D62" i="17"/>
  <c r="J44" i="18"/>
  <c r="L44" i="18"/>
  <c r="L90" i="1"/>
  <c r="N20" i="33" s="1"/>
  <c r="D63" i="1"/>
  <c r="G48" i="16"/>
  <c r="H48" i="16" s="1"/>
  <c r="G47" i="16"/>
  <c r="H47" i="16" s="1"/>
  <c r="C27" i="16"/>
  <c r="C30" i="16" s="1"/>
  <c r="B26" i="16"/>
  <c r="B27" i="16" s="1"/>
  <c r="B29" i="16" s="1"/>
  <c r="C23" i="16"/>
  <c r="B20" i="16"/>
  <c r="B21" i="16" s="1"/>
  <c r="B23" i="16" s="1"/>
  <c r="B12" i="16"/>
  <c r="B11" i="16"/>
  <c r="C9" i="16"/>
  <c r="C12" i="16" s="1"/>
  <c r="C7" i="16"/>
  <c r="B7" i="16"/>
  <c r="D7" i="16" s="1"/>
  <c r="B15" i="15"/>
  <c r="D14" i="15"/>
  <c r="C14" i="15"/>
  <c r="D13" i="15"/>
  <c r="C13" i="15"/>
  <c r="C15" i="15" s="1"/>
  <c r="B11" i="15"/>
  <c r="C9" i="15" s="1"/>
  <c r="D10" i="15"/>
  <c r="C10" i="15"/>
  <c r="D9" i="15"/>
  <c r="G48" i="13"/>
  <c r="H48" i="13" s="1"/>
  <c r="G47" i="13"/>
  <c r="H47" i="13" s="1"/>
  <c r="C30" i="13"/>
  <c r="C29" i="13"/>
  <c r="B27" i="13"/>
  <c r="B29" i="13" s="1"/>
  <c r="D29" i="13" s="1"/>
  <c r="C23" i="13"/>
  <c r="C31" i="13" s="1"/>
  <c r="B21" i="13"/>
  <c r="B23" i="13" s="1"/>
  <c r="C12" i="13"/>
  <c r="B12" i="13"/>
  <c r="C11" i="13"/>
  <c r="B11" i="13"/>
  <c r="D11" i="13" s="1"/>
  <c r="C7" i="13"/>
  <c r="C14" i="13" s="1"/>
  <c r="B7" i="13"/>
  <c r="B14" i="13" s="1"/>
  <c r="C11" i="15" l="1"/>
  <c r="D23" i="16"/>
  <c r="B31" i="16"/>
  <c r="C11" i="16"/>
  <c r="D11" i="16" s="1"/>
  <c r="B13" i="16"/>
  <c r="B14" i="16"/>
  <c r="C29" i="16"/>
  <c r="D29" i="16" s="1"/>
  <c r="B30" i="16"/>
  <c r="C13" i="16"/>
  <c r="D14" i="13"/>
  <c r="D23" i="13"/>
  <c r="B31" i="13"/>
  <c r="C32" i="13"/>
  <c r="C13" i="13"/>
  <c r="B30" i="13"/>
  <c r="D7" i="13"/>
  <c r="B13" i="13"/>
  <c r="N116" i="2" l="1"/>
  <c r="P114" i="2"/>
  <c r="E46" i="16"/>
  <c r="H46" i="16" s="1"/>
  <c r="B32" i="16"/>
  <c r="C31" i="16"/>
  <c r="C32" i="16" s="1"/>
  <c r="C14" i="16"/>
  <c r="D14" i="16" s="1"/>
  <c r="D34" i="16" s="1"/>
  <c r="D32" i="16"/>
  <c r="E46" i="13"/>
  <c r="H46" i="13" s="1"/>
  <c r="B32" i="13"/>
  <c r="D32" i="13" s="1"/>
  <c r="D34" i="13" l="1"/>
  <c r="E64" i="2"/>
  <c r="D64" i="2"/>
  <c r="F293" i="4"/>
  <c r="G293" i="4"/>
  <c r="J293" i="4"/>
  <c r="F296" i="4"/>
  <c r="G296" i="4"/>
  <c r="J296" i="4"/>
  <c r="F299" i="4"/>
  <c r="G299" i="4"/>
  <c r="J299" i="4"/>
  <c r="E28" i="1"/>
  <c r="G28" i="1"/>
  <c r="J28" i="1"/>
  <c r="D28" i="1"/>
  <c r="F476" i="4"/>
  <c r="F362" i="4"/>
  <c r="F361" i="4"/>
  <c r="F359" i="4" s="1"/>
  <c r="F356" i="4"/>
  <c r="F355" i="4"/>
  <c r="F354" i="4"/>
  <c r="F353" i="4" l="1"/>
  <c r="D17" i="9"/>
  <c r="G303" i="4"/>
  <c r="G292" i="4" s="1"/>
  <c r="G31" i="1" s="1"/>
  <c r="G27" i="1" s="1"/>
  <c r="J303" i="4"/>
  <c r="J292" i="4" s="1"/>
  <c r="J31" i="1" s="1"/>
  <c r="F303" i="4"/>
  <c r="F292" i="4" s="1"/>
  <c r="L12" i="5" l="1"/>
  <c r="I12" i="5"/>
  <c r="E67" i="37" l="1"/>
  <c r="H12" i="5" l="1"/>
  <c r="G12" i="5"/>
  <c r="F12" i="5"/>
  <c r="E12" i="5"/>
  <c r="L20" i="5"/>
  <c r="Q490" i="3" l="1"/>
  <c r="R490" i="3" s="1"/>
  <c r="R489" i="3" s="1"/>
  <c r="F471" i="3"/>
  <c r="G471" i="3"/>
  <c r="L471" i="3"/>
  <c r="J75" i="44" s="1"/>
  <c r="J69" i="44" s="1"/>
  <c r="Q471" i="3"/>
  <c r="R471" i="3"/>
  <c r="L467" i="3"/>
  <c r="L464" i="3"/>
  <c r="Q464" i="3" s="1"/>
  <c r="R464" i="3" s="1"/>
  <c r="L463" i="3"/>
  <c r="Q463" i="3" s="1"/>
  <c r="R463" i="3" s="1"/>
  <c r="E471" i="3"/>
  <c r="D471" i="3"/>
  <c r="D75" i="44" s="1"/>
  <c r="D69" i="44" s="1"/>
  <c r="E466" i="3"/>
  <c r="E464" i="3"/>
  <c r="E463" i="3" s="1"/>
  <c r="E462" i="3" s="1"/>
  <c r="E461" i="3"/>
  <c r="E80" i="2" l="1"/>
  <c r="E75" i="44"/>
  <c r="E69" i="44" s="1"/>
  <c r="L80" i="2"/>
  <c r="L75" i="44"/>
  <c r="L69" i="44" s="1"/>
  <c r="K80" i="2"/>
  <c r="K75" i="44"/>
  <c r="K69" i="44" s="1"/>
  <c r="G80" i="2"/>
  <c r="G75" i="44"/>
  <c r="G69" i="44" s="1"/>
  <c r="J80" i="2"/>
  <c r="L476" i="3"/>
  <c r="G476" i="3"/>
  <c r="G76" i="2"/>
  <c r="Q489" i="3"/>
  <c r="Q467" i="3"/>
  <c r="J76" i="2" l="1"/>
  <c r="J74" i="2" s="1"/>
  <c r="R467" i="3"/>
  <c r="Q476" i="3"/>
  <c r="K76" i="2"/>
  <c r="K74" i="2" s="1"/>
  <c r="R476" i="3" l="1"/>
  <c r="M23" i="34"/>
  <c r="M29" i="34" l="1"/>
  <c r="O13" i="35" s="1"/>
  <c r="L76" i="2"/>
  <c r="L74" i="2" s="1"/>
  <c r="N23" i="34"/>
  <c r="P13" i="35" s="1"/>
  <c r="E460" i="3"/>
  <c r="D476" i="3"/>
  <c r="G468" i="4"/>
  <c r="K468" i="4" s="1"/>
  <c r="L476" i="4" l="1"/>
  <c r="K476" i="4"/>
  <c r="G476" i="4"/>
  <c r="G63" i="1"/>
  <c r="E476" i="3"/>
  <c r="J476" i="4"/>
  <c r="J63" i="1" l="1"/>
  <c r="J441" i="4"/>
  <c r="J78" i="1" s="1"/>
  <c r="G441" i="4"/>
  <c r="G78" i="1" s="1"/>
  <c r="F441" i="4"/>
  <c r="J22" i="32" l="1"/>
  <c r="J29" i="30"/>
  <c r="K63" i="1"/>
  <c r="J423" i="4"/>
  <c r="E74" i="1"/>
  <c r="L63" i="1" l="1"/>
  <c r="K29" i="30"/>
  <c r="K36" i="30" s="1"/>
  <c r="M13" i="33" s="1"/>
  <c r="G74" i="1"/>
  <c r="G72" i="1" s="1"/>
  <c r="J431" i="4"/>
  <c r="J74" i="1" s="1"/>
  <c r="L29" i="30" l="1"/>
  <c r="L36" i="30" s="1"/>
  <c r="D26" i="9"/>
  <c r="N13" i="33" l="1"/>
  <c r="D29" i="9"/>
  <c r="J41" i="2"/>
  <c r="K39" i="1"/>
  <c r="F39" i="1"/>
  <c r="F38" i="1" s="1"/>
  <c r="J39" i="1"/>
  <c r="R427" i="3" l="1"/>
  <c r="R429" i="3" s="1"/>
  <c r="R402" i="3"/>
  <c r="R403" i="3"/>
  <c r="R404" i="3"/>
  <c r="R401" i="3"/>
  <c r="R399" i="3"/>
  <c r="R397" i="3"/>
  <c r="F418" i="3"/>
  <c r="G418" i="3"/>
  <c r="Q418" i="3"/>
  <c r="R418" i="3"/>
  <c r="Q402" i="3"/>
  <c r="Q403" i="3"/>
  <c r="Q404" i="3"/>
  <c r="Q401" i="3"/>
  <c r="Q388" i="3"/>
  <c r="F376" i="3"/>
  <c r="F424" i="3"/>
  <c r="F406" i="3"/>
  <c r="G406" i="3"/>
  <c r="Q406" i="3"/>
  <c r="R406" i="3"/>
  <c r="S406" i="3"/>
  <c r="T406" i="3"/>
  <c r="E376" i="3"/>
  <c r="G376" i="3"/>
  <c r="F350" i="4"/>
  <c r="R396" i="3" l="1"/>
  <c r="R398" i="3"/>
  <c r="Q412" i="3"/>
  <c r="Q427" i="3" s="1"/>
  <c r="Q429" i="3" s="1"/>
  <c r="R388" i="3"/>
  <c r="Q395" i="3"/>
  <c r="Q382" i="3"/>
  <c r="R395" i="3"/>
  <c r="R382" i="3"/>
  <c r="Q396" i="3"/>
  <c r="Q398" i="3"/>
  <c r="F347" i="4"/>
  <c r="Q397" i="3"/>
  <c r="Q399" i="3"/>
  <c r="Q400" i="3"/>
  <c r="R400" i="3"/>
  <c r="G382" i="3"/>
  <c r="G404" i="3"/>
  <c r="G403" i="3"/>
  <c r="G402" i="3"/>
  <c r="G388" i="3"/>
  <c r="K41" i="2"/>
  <c r="J20" i="5"/>
  <c r="L41" i="2"/>
  <c r="I20" i="5"/>
  <c r="K20" i="5"/>
  <c r="G405" i="3"/>
  <c r="L39" i="1"/>
  <c r="R424" i="3"/>
  <c r="L67" i="2"/>
  <c r="K67" i="2"/>
  <c r="J67" i="2"/>
  <c r="G424" i="3"/>
  <c r="F405" i="3"/>
  <c r="F382" i="3"/>
  <c r="F388" i="3"/>
  <c r="F402" i="3"/>
  <c r="F404" i="3"/>
  <c r="F403" i="3"/>
  <c r="J366" i="4"/>
  <c r="J374" i="4"/>
  <c r="J375" i="4"/>
  <c r="R425" i="3" l="1"/>
  <c r="P16" i="35"/>
  <c r="Q424" i="3"/>
  <c r="O16" i="35" s="1"/>
  <c r="Q425" i="3"/>
  <c r="M68" i="2"/>
  <c r="M67" i="2" s="1"/>
  <c r="R394" i="3"/>
  <c r="Q394" i="3"/>
  <c r="J372" i="4"/>
  <c r="K348" i="4"/>
  <c r="K366" i="4" s="1"/>
  <c r="J373" i="4"/>
  <c r="K349" i="4"/>
  <c r="K367" i="4" s="1"/>
  <c r="G394" i="3"/>
  <c r="G400" i="3"/>
  <c r="J365" i="4"/>
  <c r="R426" i="3"/>
  <c r="U431" i="3"/>
  <c r="F400" i="3"/>
  <c r="F394" i="3"/>
  <c r="K372" i="4" l="1"/>
  <c r="L348" i="4"/>
  <c r="L366" i="4" s="1"/>
  <c r="L372" i="4" s="1"/>
  <c r="K373" i="4"/>
  <c r="L349" i="4"/>
  <c r="K347" i="4"/>
  <c r="T426" i="3" s="1"/>
  <c r="Q426" i="3"/>
  <c r="L367" i="4" l="1"/>
  <c r="L347" i="4"/>
  <c r="U426" i="3" s="1"/>
  <c r="K371" i="4"/>
  <c r="K365" i="4"/>
  <c r="G369" i="4"/>
  <c r="G375" i="4" s="1"/>
  <c r="F386" i="4"/>
  <c r="F383" i="4" s="1"/>
  <c r="L373" i="4" l="1"/>
  <c r="L371" i="4" s="1"/>
  <c r="L365" i="4"/>
  <c r="F66" i="1"/>
  <c r="F395" i="4"/>
  <c r="G368" i="4"/>
  <c r="G374" i="4" s="1"/>
  <c r="G367" i="4"/>
  <c r="G373" i="4" s="1"/>
  <c r="F65" i="1" l="1"/>
  <c r="G20" i="5"/>
  <c r="K85" i="8" l="1"/>
  <c r="L85" i="8" s="1"/>
  <c r="K80" i="8"/>
  <c r="K77" i="8"/>
  <c r="J67" i="8"/>
  <c r="J49" i="8"/>
  <c r="E219" i="8"/>
  <c r="F219" i="8" s="1"/>
  <c r="L79" i="8" l="1"/>
  <c r="K79" i="8"/>
  <c r="K50" i="8"/>
  <c r="L50" i="8"/>
  <c r="K49" i="8"/>
  <c r="L20" i="8"/>
  <c r="K20" i="8"/>
  <c r="K86" i="8"/>
  <c r="J79" i="8"/>
  <c r="K67" i="8"/>
  <c r="L67" i="8" s="1"/>
  <c r="F78" i="8"/>
  <c r="J51" i="8"/>
  <c r="J53" i="8" s="1"/>
  <c r="J50" i="8"/>
  <c r="J46" i="8"/>
  <c r="G82" i="8"/>
  <c r="G79" i="8"/>
  <c r="G78" i="8"/>
  <c r="G53" i="8"/>
  <c r="G50" i="8"/>
  <c r="G46" i="8"/>
  <c r="J38" i="8"/>
  <c r="K38" i="8" s="1"/>
  <c r="L38" i="8" s="1"/>
  <c r="F38" i="8"/>
  <c r="J22" i="8"/>
  <c r="K22" i="8" s="1"/>
  <c r="L22" i="8" s="1"/>
  <c r="L24" i="8" s="1"/>
  <c r="J19" i="8"/>
  <c r="J21" i="8" s="1"/>
  <c r="J20" i="8"/>
  <c r="G24" i="8"/>
  <c r="G21" i="8"/>
  <c r="G26" i="8" s="1"/>
  <c r="G20" i="8"/>
  <c r="F79" i="8"/>
  <c r="F24" i="8"/>
  <c r="F21" i="8"/>
  <c r="F28" i="8" s="1"/>
  <c r="F20" i="8"/>
  <c r="F81" i="8" l="1"/>
  <c r="G92" i="8"/>
  <c r="G84" i="8"/>
  <c r="G29" i="8"/>
  <c r="J24" i="8"/>
  <c r="J34" i="8" s="1"/>
  <c r="Q33" i="8" s="1"/>
  <c r="G52" i="8"/>
  <c r="L80" i="8"/>
  <c r="L82" i="8" s="1"/>
  <c r="K28" i="8"/>
  <c r="J31" i="8"/>
  <c r="K31" i="8" s="1"/>
  <c r="L31" i="8" s="1"/>
  <c r="J29" i="8"/>
  <c r="J30" i="8"/>
  <c r="K30" i="8" s="1"/>
  <c r="L30" i="8" s="1"/>
  <c r="K27" i="8"/>
  <c r="J26" i="8"/>
  <c r="J52" i="8"/>
  <c r="G87" i="8"/>
  <c r="F87" i="8"/>
  <c r="K24" i="8"/>
  <c r="K51" i="8"/>
  <c r="K82" i="8"/>
  <c r="G23" i="8"/>
  <c r="G34" i="8"/>
  <c r="G57" i="8"/>
  <c r="G56" i="8"/>
  <c r="G55" i="8" s="1"/>
  <c r="J78" i="8"/>
  <c r="K88" i="8"/>
  <c r="K89" i="8"/>
  <c r="L86" i="8"/>
  <c r="K19" i="8"/>
  <c r="K46" i="8"/>
  <c r="L49" i="8"/>
  <c r="L46" i="8" s="1"/>
  <c r="J56" i="8"/>
  <c r="J55" i="8" s="1"/>
  <c r="J57" i="8"/>
  <c r="F84" i="8"/>
  <c r="G81" i="8"/>
  <c r="F31" i="8"/>
  <c r="F30" i="8"/>
  <c r="F27" i="8"/>
  <c r="F34" i="8" s="1"/>
  <c r="F23" i="8"/>
  <c r="S75" i="8"/>
  <c r="S78" i="8"/>
  <c r="E21" i="8"/>
  <c r="E34" i="8" s="1"/>
  <c r="E33" i="8" s="1"/>
  <c r="E68" i="8"/>
  <c r="E69" i="8" s="1"/>
  <c r="E46" i="8"/>
  <c r="E53" i="8"/>
  <c r="E62" i="8"/>
  <c r="D21" i="8"/>
  <c r="D24" i="8" s="1"/>
  <c r="J81" i="8" l="1"/>
  <c r="J23" i="8"/>
  <c r="G63" i="8"/>
  <c r="G68" i="8" s="1"/>
  <c r="G69" i="8" s="1"/>
  <c r="E39" i="8"/>
  <c r="F33" i="8"/>
  <c r="F39" i="8"/>
  <c r="F40" i="8" s="1"/>
  <c r="L19" i="8"/>
  <c r="L21" i="8" s="1"/>
  <c r="K21" i="8"/>
  <c r="K34" i="8" s="1"/>
  <c r="G62" i="8"/>
  <c r="J33" i="8"/>
  <c r="J39" i="8"/>
  <c r="J40" i="8" s="1"/>
  <c r="K26" i="8"/>
  <c r="L27" i="8"/>
  <c r="K29" i="8"/>
  <c r="L28" i="8"/>
  <c r="E87" i="8"/>
  <c r="L57" i="8"/>
  <c r="L56" i="8"/>
  <c r="L55" i="8" s="1"/>
  <c r="L88" i="8"/>
  <c r="L89" i="8"/>
  <c r="K78" i="8"/>
  <c r="K92" i="8" s="1"/>
  <c r="K91" i="8" s="1"/>
  <c r="L77" i="8"/>
  <c r="L78" i="8" s="1"/>
  <c r="L92" i="8" s="1"/>
  <c r="L91" i="8" s="1"/>
  <c r="E92" i="8"/>
  <c r="K57" i="8"/>
  <c r="K56" i="8"/>
  <c r="K55" i="8" s="1"/>
  <c r="J87" i="8"/>
  <c r="J84" i="8"/>
  <c r="G59" i="8"/>
  <c r="G58" i="8"/>
  <c r="G60" i="8"/>
  <c r="G39" i="8"/>
  <c r="G40" i="8" s="1"/>
  <c r="G33" i="8"/>
  <c r="K53" i="8"/>
  <c r="K52" i="8" s="1"/>
  <c r="L51" i="8"/>
  <c r="L53" i="8" s="1"/>
  <c r="L52" i="8" s="1"/>
  <c r="G97" i="8"/>
  <c r="G98" i="8" s="1"/>
  <c r="J60" i="8"/>
  <c r="J58" i="8"/>
  <c r="J59" i="8"/>
  <c r="J63" i="8"/>
  <c r="F92" i="8"/>
  <c r="F91" i="8" s="1"/>
  <c r="F26" i="8"/>
  <c r="E40" i="8"/>
  <c r="E50" i="8"/>
  <c r="D39" i="8"/>
  <c r="E20" i="8"/>
  <c r="D33" i="8"/>
  <c r="W21" i="29" l="1"/>
  <c r="W40" i="29" s="1"/>
  <c r="W20" i="29" s="1"/>
  <c r="W54" i="29" s="1"/>
  <c r="W55" i="29" s="1"/>
  <c r="L49" i="1"/>
  <c r="L50" i="1" s="1"/>
  <c r="K49" i="1"/>
  <c r="K50" i="1" s="1"/>
  <c r="Q21" i="29"/>
  <c r="J49" i="1"/>
  <c r="J50" i="1" s="1"/>
  <c r="L29" i="8"/>
  <c r="L26" i="8"/>
  <c r="K23" i="8"/>
  <c r="L97" i="8"/>
  <c r="L98" i="8" s="1"/>
  <c r="J97" i="8"/>
  <c r="J98" i="8" s="1"/>
  <c r="K60" i="8"/>
  <c r="K59" i="8"/>
  <c r="K58" i="8"/>
  <c r="E97" i="8"/>
  <c r="E98" i="8" s="1"/>
  <c r="E91" i="8"/>
  <c r="K81" i="8"/>
  <c r="K84" i="8"/>
  <c r="K87" i="8"/>
  <c r="L87" i="8"/>
  <c r="K39" i="8"/>
  <c r="K40" i="8" s="1"/>
  <c r="K33" i="8"/>
  <c r="G91" i="8"/>
  <c r="K63" i="8"/>
  <c r="L81" i="8"/>
  <c r="L84" i="8"/>
  <c r="L63" i="8"/>
  <c r="L59" i="8"/>
  <c r="L60" i="8"/>
  <c r="L58" i="8"/>
  <c r="L34" i="8"/>
  <c r="L23" i="8"/>
  <c r="J68" i="8"/>
  <c r="J69" i="8" s="1"/>
  <c r="J62" i="8"/>
  <c r="F97" i="8"/>
  <c r="F98" i="8" s="1"/>
  <c r="D20" i="8"/>
  <c r="Q40" i="29" l="1"/>
  <c r="Q20" i="29" s="1"/>
  <c r="Q54" i="29" s="1"/>
  <c r="Q55" i="29" s="1"/>
  <c r="T21" i="29"/>
  <c r="T40" i="29" s="1"/>
  <c r="T20" i="29" s="1"/>
  <c r="T54" i="29" s="1"/>
  <c r="T55" i="29" s="1"/>
  <c r="K68" i="8"/>
  <c r="K69" i="8" s="1"/>
  <c r="K62" i="8"/>
  <c r="L39" i="8"/>
  <c r="L40" i="8" s="1"/>
  <c r="L33" i="8"/>
  <c r="L62" i="8"/>
  <c r="L68" i="8"/>
  <c r="L69" i="8" s="1"/>
  <c r="K97" i="8"/>
  <c r="F368" i="4"/>
  <c r="F374" i="4" s="1"/>
  <c r="F369" i="4"/>
  <c r="F375" i="4" s="1"/>
  <c r="F367" i="4"/>
  <c r="F373" i="4" s="1"/>
  <c r="F366" i="4"/>
  <c r="G366" i="4"/>
  <c r="J389" i="4"/>
  <c r="J371" i="4"/>
  <c r="X21" i="29" l="1"/>
  <c r="X40" i="29" s="1"/>
  <c r="X20" i="29" s="1"/>
  <c r="X54" i="29" s="1"/>
  <c r="X55" i="29" s="1"/>
  <c r="U21" i="29"/>
  <c r="U40" i="29" s="1"/>
  <c r="U20" i="29" s="1"/>
  <c r="U54" i="29" s="1"/>
  <c r="U55" i="29" s="1"/>
  <c r="V21" i="29"/>
  <c r="V40" i="29" s="1"/>
  <c r="Y21" i="29"/>
  <c r="G365" i="4"/>
  <c r="G372" i="4"/>
  <c r="G371" i="4" s="1"/>
  <c r="F372" i="4"/>
  <c r="F371" i="4" s="1"/>
  <c r="F365" i="4"/>
  <c r="E20" i="5"/>
  <c r="H20" i="5"/>
  <c r="K98" i="8"/>
  <c r="K52" i="2" l="1"/>
  <c r="K51" i="44"/>
  <c r="K49" i="44" s="1"/>
  <c r="K40" i="44" s="1"/>
  <c r="Y40" i="29"/>
  <c r="V20" i="29"/>
  <c r="V54" i="29" s="1"/>
  <c r="V55" i="29" s="1"/>
  <c r="S351" i="3"/>
  <c r="L52" i="2" l="1"/>
  <c r="L51" i="44"/>
  <c r="L49" i="44" s="1"/>
  <c r="L40" i="44" s="1"/>
  <c r="Y20" i="29"/>
  <c r="Y54" i="29" s="1"/>
  <c r="Y55" i="29" s="1"/>
  <c r="G55" i="1"/>
  <c r="D79" i="21"/>
  <c r="D83" i="21" s="1"/>
  <c r="D28" i="9"/>
  <c r="F343" i="3"/>
  <c r="G343" i="3"/>
  <c r="R343" i="3"/>
  <c r="Q343" i="3" l="1"/>
  <c r="M35" i="2" s="1"/>
  <c r="F35" i="44"/>
  <c r="F34" i="44" s="1"/>
  <c r="G35" i="2"/>
  <c r="G35" i="44"/>
  <c r="F35" i="2"/>
  <c r="D72" i="21"/>
  <c r="F287" i="4"/>
  <c r="F306" i="4" s="1"/>
  <c r="G287" i="4"/>
  <c r="G306" i="4" s="1"/>
  <c r="J287" i="4"/>
  <c r="J306" i="4" s="1"/>
  <c r="N30" i="44"/>
  <c r="Q321" i="3"/>
  <c r="Q336" i="3" s="1"/>
  <c r="L336" i="3"/>
  <c r="F336" i="3"/>
  <c r="G336" i="3"/>
  <c r="R321" i="3"/>
  <c r="S321" i="3"/>
  <c r="E311" i="3"/>
  <c r="G311" i="3"/>
  <c r="T311" i="3"/>
  <c r="N26" i="44" s="1"/>
  <c r="G26" i="2" l="1"/>
  <c r="G26" i="44"/>
  <c r="J27" i="1"/>
  <c r="G277" i="4"/>
  <c r="G25" i="1" s="1"/>
  <c r="L28" i="2"/>
  <c r="K28" i="2"/>
  <c r="D18" i="9"/>
  <c r="D277" i="4"/>
  <c r="D25" i="1" s="1"/>
  <c r="E277" i="4"/>
  <c r="E25" i="1" s="1"/>
  <c r="D13" i="9" l="1"/>
  <c r="K27" i="1"/>
  <c r="R336" i="3"/>
  <c r="L27" i="1" l="1"/>
  <c r="J238" i="4" l="1"/>
  <c r="J234" i="4"/>
  <c r="G238" i="4"/>
  <c r="G234" i="4"/>
  <c r="G240" i="4" l="1"/>
  <c r="G20" i="1" s="1"/>
  <c r="J240" i="4"/>
  <c r="E238" i="4"/>
  <c r="G227" i="3"/>
  <c r="G231" i="3"/>
  <c r="G232" i="3"/>
  <c r="G228" i="3"/>
  <c r="F218" i="4"/>
  <c r="E233" i="3"/>
  <c r="D218" i="4"/>
  <c r="J173" i="4"/>
  <c r="F173" i="4"/>
  <c r="G173" i="4"/>
  <c r="J20" i="1" l="1"/>
  <c r="J10" i="30"/>
  <c r="G233" i="3"/>
  <c r="J229" i="3"/>
  <c r="K228" i="3"/>
  <c r="G229" i="3"/>
  <c r="G218" i="4"/>
  <c r="J218" i="4"/>
  <c r="J219" i="4" s="1"/>
  <c r="D233" i="3"/>
  <c r="D214" i="4"/>
  <c r="E218" i="4"/>
  <c r="E237" i="3"/>
  <c r="E238" i="3" s="1"/>
  <c r="G237" i="3"/>
  <c r="D229" i="3"/>
  <c r="D238" i="3" s="1"/>
  <c r="F174" i="4"/>
  <c r="F177" i="4" s="1"/>
  <c r="F17" i="1" s="1"/>
  <c r="E19" i="2" l="1"/>
  <c r="E19" i="44"/>
  <c r="E15" i="44" s="1"/>
  <c r="D19" i="2"/>
  <c r="D19" i="44"/>
  <c r="D15" i="44" s="1"/>
  <c r="D10" i="44" s="1"/>
  <c r="D79" i="44" s="1"/>
  <c r="D93" i="44" s="1"/>
  <c r="D104" i="44" s="1"/>
  <c r="J19" i="1"/>
  <c r="J8" i="30"/>
  <c r="L228" i="3"/>
  <c r="L229" i="3" s="1"/>
  <c r="K229" i="3"/>
  <c r="J233" i="3"/>
  <c r="K232" i="3"/>
  <c r="J238" i="3"/>
  <c r="G238" i="3"/>
  <c r="E219" i="4"/>
  <c r="E19" i="1" s="1"/>
  <c r="G219" i="4"/>
  <c r="G19" i="1" s="1"/>
  <c r="F219" i="4"/>
  <c r="F19" i="1" s="1"/>
  <c r="G19" i="2" l="1"/>
  <c r="G19" i="44"/>
  <c r="G15" i="44" s="1"/>
  <c r="J19" i="2"/>
  <c r="J19" i="44"/>
  <c r="J15" i="44" s="1"/>
  <c r="K233" i="3"/>
  <c r="K238" i="3" s="1"/>
  <c r="L232" i="3"/>
  <c r="L233" i="3" s="1"/>
  <c r="L238" i="3" s="1"/>
  <c r="D16" i="2"/>
  <c r="E16" i="2"/>
  <c r="F15" i="1"/>
  <c r="L19" i="2" l="1"/>
  <c r="L19" i="44"/>
  <c r="L15" i="44" s="1"/>
  <c r="K19" i="2"/>
  <c r="K19" i="44"/>
  <c r="K15" i="44" s="1"/>
  <c r="G16" i="2"/>
  <c r="M15" i="1"/>
  <c r="D54" i="3" l="1"/>
  <c r="D55" i="3" s="1"/>
  <c r="D49" i="3"/>
  <c r="E56" i="3"/>
  <c r="E62" i="3" s="1"/>
  <c r="C38" i="23" l="1"/>
  <c r="E90" i="4"/>
  <c r="E97" i="4" s="1"/>
  <c r="E14" i="1" s="1"/>
  <c r="G90" i="4"/>
  <c r="G97" i="4" s="1"/>
  <c r="G14" i="1" s="1"/>
  <c r="J90" i="4"/>
  <c r="D51" i="3"/>
  <c r="D56" i="3" s="1"/>
  <c r="G51" i="3"/>
  <c r="G55" i="3"/>
  <c r="Q32" i="3"/>
  <c r="M12" i="2" s="1"/>
  <c r="R32" i="3"/>
  <c r="S31" i="3"/>
  <c r="E31" i="3"/>
  <c r="J97" i="4" l="1"/>
  <c r="J14" i="1" s="1"/>
  <c r="D97" i="4"/>
  <c r="D14" i="1" s="1"/>
  <c r="D62" i="3"/>
  <c r="S32" i="3"/>
  <c r="F37" i="23"/>
  <c r="C37" i="23"/>
  <c r="C36" i="23" s="1"/>
  <c r="G56" i="3"/>
  <c r="G62" i="3" s="1"/>
  <c r="Q37" i="3"/>
  <c r="Q55" i="3"/>
  <c r="S45" i="3"/>
  <c r="S46" i="3" s="1"/>
  <c r="D80" i="4"/>
  <c r="L56" i="3" l="1"/>
  <c r="L62" i="3" s="1"/>
  <c r="F38" i="23"/>
  <c r="F36" i="23" s="1"/>
  <c r="F96" i="4"/>
  <c r="J96" i="4"/>
  <c r="D96" i="4"/>
  <c r="Q51" i="3"/>
  <c r="R54" i="3"/>
  <c r="R55" i="3" s="1"/>
  <c r="D63" i="3"/>
  <c r="Q41" i="3"/>
  <c r="F63" i="3"/>
  <c r="L63" i="3" l="1"/>
  <c r="R56" i="3"/>
  <c r="R62" i="3" s="1"/>
  <c r="Q56" i="3"/>
  <c r="Q62" i="3" s="1"/>
  <c r="M14" i="2" s="1"/>
  <c r="J11" i="2"/>
  <c r="J8" i="36" s="1"/>
  <c r="E11" i="1"/>
  <c r="E96" i="4"/>
  <c r="G63" i="3"/>
  <c r="E63" i="3"/>
  <c r="F11" i="1"/>
  <c r="J11" i="1"/>
  <c r="J9" i="32" s="1"/>
  <c r="G96" i="4"/>
  <c r="Q45" i="3"/>
  <c r="Q46" i="3" s="1"/>
  <c r="Q63" i="3" l="1"/>
  <c r="M13" i="2"/>
  <c r="L14" i="2"/>
  <c r="L14" i="44"/>
  <c r="L11" i="44" s="1"/>
  <c r="D9" i="9"/>
  <c r="R45" i="3"/>
  <c r="R46" i="3" s="1"/>
  <c r="G11" i="1"/>
  <c r="K11" i="2" l="1"/>
  <c r="K8" i="36" s="1"/>
  <c r="R63" i="3"/>
  <c r="L11" i="2"/>
  <c r="L8" i="36" s="1"/>
  <c r="J49" i="10" l="1"/>
  <c r="K49" i="10"/>
  <c r="J50" i="10"/>
  <c r="K50" i="10"/>
  <c r="K48" i="10"/>
  <c r="J48" i="10"/>
  <c r="G49" i="10"/>
  <c r="H49" i="10"/>
  <c r="G50" i="10"/>
  <c r="H50" i="10"/>
  <c r="H48" i="10"/>
  <c r="G48" i="10"/>
  <c r="D49" i="10"/>
  <c r="E49" i="10"/>
  <c r="D50" i="10"/>
  <c r="E50" i="10"/>
  <c r="E48" i="10"/>
  <c r="D48" i="10"/>
  <c r="J42" i="10"/>
  <c r="K42" i="10"/>
  <c r="J43" i="10"/>
  <c r="K43" i="10"/>
  <c r="J44" i="10"/>
  <c r="K44" i="10"/>
  <c r="J45" i="10"/>
  <c r="K45" i="10"/>
  <c r="K46" i="10"/>
  <c r="K41" i="10"/>
  <c r="G42" i="10"/>
  <c r="H42" i="10"/>
  <c r="G43" i="10"/>
  <c r="H43" i="10"/>
  <c r="G44" i="10"/>
  <c r="H44" i="10"/>
  <c r="G45" i="10"/>
  <c r="H45" i="10"/>
  <c r="H46" i="10"/>
  <c r="H41" i="10"/>
  <c r="D42" i="10"/>
  <c r="E42" i="10"/>
  <c r="D43" i="10"/>
  <c r="E43" i="10"/>
  <c r="D44" i="10"/>
  <c r="E44" i="10"/>
  <c r="D45" i="10"/>
  <c r="E45" i="10"/>
  <c r="J34" i="10"/>
  <c r="J35" i="10"/>
  <c r="J36" i="10"/>
  <c r="J37" i="10"/>
  <c r="J38" i="10"/>
  <c r="J33" i="10"/>
  <c r="G34" i="10"/>
  <c r="G35" i="10"/>
  <c r="G36" i="10"/>
  <c r="G37" i="10"/>
  <c r="G38" i="10"/>
  <c r="G33" i="10"/>
  <c r="D34" i="10"/>
  <c r="D35" i="10"/>
  <c r="D36" i="10"/>
  <c r="D37" i="10"/>
  <c r="D38" i="10"/>
  <c r="D33" i="10"/>
  <c r="J31" i="10"/>
  <c r="G31" i="10"/>
  <c r="D31" i="10"/>
  <c r="J30" i="10"/>
  <c r="G30" i="10"/>
  <c r="D30" i="10"/>
  <c r="J29" i="10"/>
  <c r="G29" i="10"/>
  <c r="D29" i="10"/>
  <c r="J16" i="10"/>
  <c r="G16" i="10"/>
  <c r="D16" i="10"/>
  <c r="D12" i="10"/>
  <c r="D10" i="10"/>
  <c r="J8" i="10"/>
  <c r="G8" i="10"/>
  <c r="D8" i="10"/>
  <c r="J14" i="10" l="1"/>
  <c r="G14" i="10"/>
  <c r="D14" i="10"/>
  <c r="K13" i="10"/>
  <c r="J13" i="10"/>
  <c r="H13" i="10"/>
  <c r="G13" i="10"/>
  <c r="E13" i="10"/>
  <c r="D13" i="10"/>
  <c r="J12" i="10"/>
  <c r="G12" i="10"/>
  <c r="B76" i="21" l="1"/>
  <c r="D34" i="1"/>
  <c r="B72" i="21" s="1"/>
  <c r="E5" i="10"/>
  <c r="L51" i="10"/>
  <c r="I51" i="10"/>
  <c r="F51" i="10"/>
  <c r="K47" i="10"/>
  <c r="J47" i="10"/>
  <c r="H47" i="10"/>
  <c r="G47" i="10"/>
  <c r="E47" i="10"/>
  <c r="D47" i="10"/>
  <c r="K40" i="10"/>
  <c r="J32" i="10"/>
  <c r="G32" i="10"/>
  <c r="D32" i="10"/>
  <c r="K21" i="10"/>
  <c r="K5" i="10"/>
  <c r="H5" i="10"/>
  <c r="L52" i="9"/>
  <c r="I52" i="9"/>
  <c r="F52" i="9"/>
  <c r="K36" i="10" l="1"/>
  <c r="H36" i="10"/>
  <c r="E36" i="10"/>
  <c r="K35" i="10"/>
  <c r="H35" i="10"/>
  <c r="E35" i="10"/>
  <c r="K34" i="10"/>
  <c r="H34" i="10"/>
  <c r="E34" i="10"/>
  <c r="K33" i="10"/>
  <c r="H33" i="10"/>
  <c r="G73" i="2"/>
  <c r="G72" i="2"/>
  <c r="G71" i="2"/>
  <c r="F73" i="2"/>
  <c r="F72" i="2"/>
  <c r="F71" i="2"/>
  <c r="E73" i="2"/>
  <c r="E72" i="2"/>
  <c r="E71" i="2"/>
  <c r="E28" i="10"/>
  <c r="J28" i="10"/>
  <c r="G28" i="10"/>
  <c r="D28" i="10"/>
  <c r="J27" i="10"/>
  <c r="G27" i="10"/>
  <c r="D27" i="10"/>
  <c r="K25" i="10"/>
  <c r="H25" i="10"/>
  <c r="J25" i="10"/>
  <c r="G25" i="10"/>
  <c r="D25" i="10"/>
  <c r="K24" i="10"/>
  <c r="H24" i="10"/>
  <c r="J24" i="10"/>
  <c r="G24" i="10"/>
  <c r="D24" i="10"/>
  <c r="K23" i="10"/>
  <c r="H23" i="10"/>
  <c r="E23" i="10"/>
  <c r="J23" i="10"/>
  <c r="G23" i="10"/>
  <c r="D23" i="10"/>
  <c r="K22" i="10"/>
  <c r="H22" i="10"/>
  <c r="E22" i="10"/>
  <c r="J22" i="10"/>
  <c r="G22" i="10"/>
  <c r="D22" i="10"/>
  <c r="F50" i="2"/>
  <c r="F40" i="2" s="1"/>
  <c r="N41" i="2"/>
  <c r="O31" i="2"/>
  <c r="N31" i="2"/>
  <c r="D93" i="2"/>
  <c r="K29" i="10"/>
  <c r="H29" i="10"/>
  <c r="E29" i="10"/>
  <c r="J26" i="10"/>
  <c r="G26" i="10"/>
  <c r="D26" i="10"/>
  <c r="O41" i="2"/>
  <c r="G20" i="10"/>
  <c r="G41" i="2" l="1"/>
  <c r="K28" i="10"/>
  <c r="H28" i="10"/>
  <c r="K27" i="10"/>
  <c r="K26" i="10"/>
  <c r="H27" i="10"/>
  <c r="H26" i="10"/>
  <c r="E41" i="2"/>
  <c r="D41" i="2"/>
  <c r="D20" i="10"/>
  <c r="J20" i="10"/>
  <c r="H20" i="10"/>
  <c r="K20" i="10"/>
  <c r="K19" i="10" s="1"/>
  <c r="T491" i="3" l="1"/>
  <c r="S491" i="3"/>
  <c r="E491" i="3"/>
  <c r="D491" i="3"/>
  <c r="T489" i="3"/>
  <c r="S489" i="3"/>
  <c r="E489" i="3"/>
  <c r="D489" i="3"/>
  <c r="T483" i="3"/>
  <c r="S483" i="3"/>
  <c r="O23" i="34" s="1"/>
  <c r="E483" i="3"/>
  <c r="D483" i="3"/>
  <c r="T471" i="3"/>
  <c r="S471" i="3"/>
  <c r="D80" i="2"/>
  <c r="D74" i="2" s="1"/>
  <c r="U449" i="3"/>
  <c r="T449" i="3"/>
  <c r="S449" i="3"/>
  <c r="E449" i="3"/>
  <c r="D449" i="3"/>
  <c r="U447" i="3"/>
  <c r="T447" i="3"/>
  <c r="S447" i="3"/>
  <c r="E447" i="3"/>
  <c r="D447" i="3"/>
  <c r="U443" i="3"/>
  <c r="T443" i="3"/>
  <c r="S443" i="3"/>
  <c r="E443" i="3"/>
  <c r="D443" i="3"/>
  <c r="U436" i="3"/>
  <c r="T436" i="3"/>
  <c r="S436" i="3"/>
  <c r="E436" i="3"/>
  <c r="E65" i="44" s="1"/>
  <c r="E64" i="44" s="1"/>
  <c r="D436" i="3"/>
  <c r="T412" i="3"/>
  <c r="G67" i="2"/>
  <c r="F67" i="2"/>
  <c r="F20" i="5"/>
  <c r="N36" i="2"/>
  <c r="H17" i="10" s="1"/>
  <c r="T343" i="3"/>
  <c r="N35" i="44" s="1"/>
  <c r="S343" i="3"/>
  <c r="T333" i="3"/>
  <c r="S333" i="3"/>
  <c r="E333" i="3"/>
  <c r="D333" i="3"/>
  <c r="T330" i="3"/>
  <c r="S330" i="3"/>
  <c r="E330" i="3"/>
  <c r="D330" i="3"/>
  <c r="T327" i="3"/>
  <c r="S327" i="3"/>
  <c r="S326" i="3" s="1"/>
  <c r="M32" i="44" s="1"/>
  <c r="M28" i="44" s="1"/>
  <c r="E327" i="3"/>
  <c r="D327" i="3"/>
  <c r="D336" i="3"/>
  <c r="O26" i="2"/>
  <c r="K12" i="10" s="1"/>
  <c r="N26" i="2"/>
  <c r="H12" i="10" s="1"/>
  <c r="E12" i="10"/>
  <c r="U253" i="3"/>
  <c r="U256" i="3" s="1"/>
  <c r="T253" i="3"/>
  <c r="T256" i="3" s="1"/>
  <c r="S253" i="3"/>
  <c r="S256" i="3" s="1"/>
  <c r="M20" i="44" s="1"/>
  <c r="E253" i="3"/>
  <c r="E256" i="3" s="1"/>
  <c r="D253" i="3"/>
  <c r="D256" i="3" s="1"/>
  <c r="U211" i="3"/>
  <c r="U214" i="3" s="1"/>
  <c r="T211" i="3"/>
  <c r="T214" i="3" s="1"/>
  <c r="S211" i="3"/>
  <c r="S214" i="3" s="1"/>
  <c r="E211" i="3"/>
  <c r="E214" i="3" s="1"/>
  <c r="D211" i="3"/>
  <c r="D214" i="3" s="1"/>
  <c r="D17" i="2"/>
  <c r="S56" i="3"/>
  <c r="S62" i="3" s="1"/>
  <c r="M18" i="2" l="1"/>
  <c r="M15" i="2" s="1"/>
  <c r="M18" i="44"/>
  <c r="M15" i="44" s="1"/>
  <c r="N20" i="2"/>
  <c r="N20" i="44"/>
  <c r="O18" i="2"/>
  <c r="O18" i="44"/>
  <c r="N18" i="2"/>
  <c r="N18" i="44"/>
  <c r="O20" i="2"/>
  <c r="O20" i="44"/>
  <c r="O32" i="2"/>
  <c r="O32" i="44"/>
  <c r="O28" i="44" s="1"/>
  <c r="E38" i="10"/>
  <c r="S476" i="3"/>
  <c r="K38" i="10"/>
  <c r="H38" i="10"/>
  <c r="T476" i="3"/>
  <c r="T424" i="3"/>
  <c r="H30" i="10" s="1"/>
  <c r="T427" i="3"/>
  <c r="T429" i="3" s="1"/>
  <c r="S424" i="3"/>
  <c r="S427" i="3"/>
  <c r="S429" i="3" s="1"/>
  <c r="K30" i="10"/>
  <c r="U427" i="3"/>
  <c r="U429" i="3" s="1"/>
  <c r="D67" i="2"/>
  <c r="S336" i="3"/>
  <c r="E326" i="3"/>
  <c r="E424" i="3"/>
  <c r="E67" i="2" s="1"/>
  <c r="T238" i="3"/>
  <c r="N17" i="2"/>
  <c r="S238" i="3"/>
  <c r="O8" i="34" s="1"/>
  <c r="O17" i="2"/>
  <c r="O19" i="2"/>
  <c r="T326" i="3"/>
  <c r="N32" i="44" s="1"/>
  <c r="N28" i="44" s="1"/>
  <c r="D15" i="2"/>
  <c r="E9" i="10"/>
  <c r="N35" i="2"/>
  <c r="H16" i="10" s="1"/>
  <c r="D451" i="3"/>
  <c r="D69" i="2"/>
  <c r="F70" i="2"/>
  <c r="F69" i="2" s="1"/>
  <c r="T451" i="3"/>
  <c r="H31" i="10"/>
  <c r="O12" i="2"/>
  <c r="F28" i="2"/>
  <c r="N30" i="2"/>
  <c r="N12" i="2"/>
  <c r="N13" i="2"/>
  <c r="G28" i="2"/>
  <c r="O30" i="2"/>
  <c r="O35" i="2"/>
  <c r="E451" i="3"/>
  <c r="E70" i="2"/>
  <c r="E69" i="2" s="1"/>
  <c r="G70" i="2"/>
  <c r="G69" i="2" s="1"/>
  <c r="S451" i="3"/>
  <c r="E31" i="10"/>
  <c r="U451" i="3"/>
  <c r="K31" i="10"/>
  <c r="E74" i="2"/>
  <c r="G74" i="2"/>
  <c r="K50" i="9"/>
  <c r="K51" i="9"/>
  <c r="J50" i="9"/>
  <c r="J51" i="9"/>
  <c r="H50" i="9"/>
  <c r="H51" i="9"/>
  <c r="G50" i="9"/>
  <c r="G51" i="9"/>
  <c r="E50" i="9"/>
  <c r="E51" i="9"/>
  <c r="D50" i="9"/>
  <c r="D51" i="9"/>
  <c r="K49" i="9"/>
  <c r="J49" i="9"/>
  <c r="H49" i="9"/>
  <c r="G49" i="9"/>
  <c r="E49" i="9"/>
  <c r="D49" i="9"/>
  <c r="K43" i="9"/>
  <c r="K44" i="9"/>
  <c r="K45" i="9"/>
  <c r="K46" i="9"/>
  <c r="K47" i="9"/>
  <c r="J43" i="9"/>
  <c r="J44" i="9"/>
  <c r="J45" i="9"/>
  <c r="J46" i="9"/>
  <c r="H43" i="9"/>
  <c r="H44" i="9"/>
  <c r="H45" i="9"/>
  <c r="H46" i="9"/>
  <c r="H47" i="9"/>
  <c r="G43" i="9"/>
  <c r="G44" i="9"/>
  <c r="G45" i="9"/>
  <c r="G46" i="9"/>
  <c r="E43" i="9"/>
  <c r="E44" i="9"/>
  <c r="E45" i="9"/>
  <c r="E46" i="9"/>
  <c r="E47" i="9"/>
  <c r="D43" i="9"/>
  <c r="D44" i="9"/>
  <c r="D45" i="9"/>
  <c r="D46" i="9"/>
  <c r="K42" i="9"/>
  <c r="H42" i="9"/>
  <c r="K29" i="9"/>
  <c r="J29" i="9"/>
  <c r="H29" i="9"/>
  <c r="G29" i="9"/>
  <c r="E29" i="9"/>
  <c r="K28" i="9"/>
  <c r="J28" i="9"/>
  <c r="H28" i="9"/>
  <c r="G28" i="9"/>
  <c r="E28" i="9"/>
  <c r="K26" i="9"/>
  <c r="J26" i="9"/>
  <c r="H26" i="9"/>
  <c r="G26" i="9"/>
  <c r="K25" i="9"/>
  <c r="J25" i="9"/>
  <c r="H25" i="9"/>
  <c r="G25" i="9"/>
  <c r="D25" i="9"/>
  <c r="K24" i="9"/>
  <c r="J24" i="9"/>
  <c r="H24" i="9"/>
  <c r="G24" i="9"/>
  <c r="E24" i="9"/>
  <c r="D24" i="9"/>
  <c r="K23" i="9"/>
  <c r="J23" i="9"/>
  <c r="H23" i="9"/>
  <c r="G23" i="9"/>
  <c r="E23" i="9"/>
  <c r="D23" i="9"/>
  <c r="K14" i="9"/>
  <c r="H14" i="9"/>
  <c r="E14" i="9"/>
  <c r="D6" i="9"/>
  <c r="K6" i="9"/>
  <c r="H6" i="9"/>
  <c r="E6" i="9"/>
  <c r="O6" i="34" l="1"/>
  <c r="Q13" i="35" s="1"/>
  <c r="O15" i="44"/>
  <c r="E30" i="10"/>
  <c r="Q16" i="35"/>
  <c r="O28" i="2"/>
  <c r="K14" i="10" s="1"/>
  <c r="E32" i="2"/>
  <c r="E32" i="44"/>
  <c r="E28" i="44" s="1"/>
  <c r="N19" i="2"/>
  <c r="N19" i="44"/>
  <c r="N15" i="44" s="1"/>
  <c r="N15" i="2"/>
  <c r="H9" i="10" s="1"/>
  <c r="O21" i="2"/>
  <c r="S63" i="3"/>
  <c r="T296" i="3"/>
  <c r="N21" i="2" s="1"/>
  <c r="H10" i="10" s="1"/>
  <c r="E10" i="10"/>
  <c r="O15" i="2"/>
  <c r="K9" i="10" s="1"/>
  <c r="M28" i="2"/>
  <c r="E14" i="10" s="1"/>
  <c r="J48" i="9"/>
  <c r="H41" i="9"/>
  <c r="K41" i="9"/>
  <c r="D48" i="9"/>
  <c r="G48" i="9"/>
  <c r="H48" i="9"/>
  <c r="K48" i="9"/>
  <c r="N32" i="2"/>
  <c r="N28" i="2" s="1"/>
  <c r="H14" i="10" s="1"/>
  <c r="T336" i="3"/>
  <c r="E28" i="2"/>
  <c r="E336" i="3"/>
  <c r="O13" i="2"/>
  <c r="O14" i="2"/>
  <c r="N14" i="2"/>
  <c r="H37" i="10"/>
  <c r="H32" i="10" s="1"/>
  <c r="K37" i="10"/>
  <c r="K32" i="10" s="1"/>
  <c r="E37" i="10"/>
  <c r="K16" i="10"/>
  <c r="E16" i="10"/>
  <c r="E48" i="9"/>
  <c r="D10" i="2"/>
  <c r="D94" i="1"/>
  <c r="J21" i="9"/>
  <c r="G21" i="9"/>
  <c r="D39" i="1"/>
  <c r="K22" i="9"/>
  <c r="H22" i="9"/>
  <c r="D48" i="1"/>
  <c r="O268" i="8"/>
  <c r="N268" i="8"/>
  <c r="L268" i="8"/>
  <c r="K268" i="8"/>
  <c r="O262" i="8"/>
  <c r="N262" i="8"/>
  <c r="M262" i="8"/>
  <c r="L262" i="8"/>
  <c r="K262" i="8"/>
  <c r="O259" i="8"/>
  <c r="N259" i="8"/>
  <c r="M259" i="8"/>
  <c r="L259" i="8"/>
  <c r="K259" i="8"/>
  <c r="O226" i="8"/>
  <c r="N226" i="8"/>
  <c r="M226" i="8"/>
  <c r="L226" i="8"/>
  <c r="K226" i="8"/>
  <c r="O224" i="8"/>
  <c r="N224" i="8"/>
  <c r="M224" i="8"/>
  <c r="L224" i="8"/>
  <c r="K224" i="8"/>
  <c r="N217" i="8"/>
  <c r="L217" i="8"/>
  <c r="K217" i="8"/>
  <c r="O204" i="8"/>
  <c r="N204" i="8"/>
  <c r="L204" i="8"/>
  <c r="K204" i="8"/>
  <c r="O201" i="8"/>
  <c r="N201" i="8"/>
  <c r="L201" i="8"/>
  <c r="K201" i="8"/>
  <c r="O198" i="8"/>
  <c r="N198" i="8"/>
  <c r="O155" i="8"/>
  <c r="O191" i="8" s="1"/>
  <c r="O24" i="44" s="1"/>
  <c r="N155" i="8"/>
  <c r="N191" i="8" s="1"/>
  <c r="N24" i="44" s="1"/>
  <c r="L153" i="8"/>
  <c r="K153" i="8"/>
  <c r="O119" i="8"/>
  <c r="N119" i="8"/>
  <c r="O116" i="8"/>
  <c r="N116" i="8"/>
  <c r="J268" i="8"/>
  <c r="G268" i="8"/>
  <c r="F268" i="8"/>
  <c r="E268" i="8"/>
  <c r="D268" i="8"/>
  <c r="J262" i="8"/>
  <c r="G262" i="8"/>
  <c r="F262" i="8"/>
  <c r="E262" i="8"/>
  <c r="D262" i="8"/>
  <c r="J259" i="8"/>
  <c r="G259" i="8"/>
  <c r="F259" i="8"/>
  <c r="E259" i="8"/>
  <c r="D259" i="8"/>
  <c r="J226" i="8"/>
  <c r="G226" i="8"/>
  <c r="F226" i="8"/>
  <c r="E226" i="8"/>
  <c r="G224" i="8"/>
  <c r="F224" i="8"/>
  <c r="E224" i="8"/>
  <c r="D224" i="8"/>
  <c r="J217" i="8"/>
  <c r="M217" i="8" s="1"/>
  <c r="G217" i="8"/>
  <c r="F217" i="8"/>
  <c r="F36" i="1" s="1"/>
  <c r="E217" i="8"/>
  <c r="J204" i="8"/>
  <c r="M204" i="8" s="1"/>
  <c r="G204" i="8"/>
  <c r="F204" i="8"/>
  <c r="D204" i="8"/>
  <c r="J201" i="8"/>
  <c r="M201" i="8" s="1"/>
  <c r="G201" i="8"/>
  <c r="F201" i="8"/>
  <c r="F213" i="8" s="1"/>
  <c r="E201" i="8"/>
  <c r="D201" i="8"/>
  <c r="E198" i="8"/>
  <c r="D198" i="8"/>
  <c r="G153" i="8"/>
  <c r="F153" i="8"/>
  <c r="E153" i="8"/>
  <c r="D153" i="8"/>
  <c r="F119" i="8"/>
  <c r="E119" i="8"/>
  <c r="D119" i="8"/>
  <c r="F116" i="8"/>
  <c r="E116" i="8"/>
  <c r="D116" i="8"/>
  <c r="F150" i="8"/>
  <c r="F23" i="1" s="1"/>
  <c r="G213" i="8" l="1"/>
  <c r="G215" i="8" s="1"/>
  <c r="K213" i="8"/>
  <c r="J213" i="8"/>
  <c r="M213" i="8" s="1"/>
  <c r="K215" i="8"/>
  <c r="L213" i="8"/>
  <c r="L215" i="8" s="1"/>
  <c r="E213" i="8"/>
  <c r="E215" i="8" s="1"/>
  <c r="E221" i="8"/>
  <c r="E328" i="4" s="1"/>
  <c r="E196" i="8"/>
  <c r="E36" i="1" s="1"/>
  <c r="G221" i="8"/>
  <c r="G196" i="8"/>
  <c r="L221" i="8"/>
  <c r="L196" i="8"/>
  <c r="F221" i="8"/>
  <c r="F329" i="4" s="1"/>
  <c r="F330" i="4" s="1"/>
  <c r="F196" i="8"/>
  <c r="J221" i="8"/>
  <c r="M221" i="8" s="1"/>
  <c r="J196" i="8"/>
  <c r="M196" i="8" s="1"/>
  <c r="K221" i="8"/>
  <c r="K196" i="8"/>
  <c r="J215" i="8"/>
  <c r="M215" i="8" s="1"/>
  <c r="N150" i="8"/>
  <c r="N152" i="8" s="1"/>
  <c r="K265" i="8"/>
  <c r="O265" i="8"/>
  <c r="O150" i="8"/>
  <c r="O152" i="8" s="1"/>
  <c r="L265" i="8"/>
  <c r="N265" i="8"/>
  <c r="N227" i="8" s="1"/>
  <c r="L152" i="8"/>
  <c r="L193" i="8"/>
  <c r="J267" i="8"/>
  <c r="F265" i="8"/>
  <c r="K152" i="8"/>
  <c r="K24" i="1" s="1"/>
  <c r="K193" i="8"/>
  <c r="H21" i="9"/>
  <c r="H20" i="9" s="1"/>
  <c r="K21" i="9"/>
  <c r="K20" i="9" s="1"/>
  <c r="D38" i="1"/>
  <c r="N193" i="8"/>
  <c r="N221" i="8"/>
  <c r="N36" i="1" s="1"/>
  <c r="E265" i="8"/>
  <c r="O24" i="2"/>
  <c r="D152" i="8"/>
  <c r="G265" i="8"/>
  <c r="M193" i="8"/>
  <c r="M24" i="2"/>
  <c r="O193" i="8"/>
  <c r="N267" i="8"/>
  <c r="T360" i="3" s="1"/>
  <c r="F152" i="8"/>
  <c r="F24" i="1" s="1"/>
  <c r="F22" i="1" s="1"/>
  <c r="F193" i="8"/>
  <c r="N24" i="2"/>
  <c r="M267" i="8"/>
  <c r="D21" i="9"/>
  <c r="O217" i="8"/>
  <c r="O221" i="8" s="1"/>
  <c r="K39" i="9"/>
  <c r="K31" i="9"/>
  <c r="E18" i="9"/>
  <c r="K10" i="10"/>
  <c r="J10" i="10"/>
  <c r="G10" i="10"/>
  <c r="J39" i="9"/>
  <c r="G39" i="9"/>
  <c r="J38" i="9"/>
  <c r="G38" i="9"/>
  <c r="J37" i="9"/>
  <c r="G37" i="9"/>
  <c r="J36" i="9"/>
  <c r="G36" i="9"/>
  <c r="J35" i="9"/>
  <c r="G35" i="9"/>
  <c r="J34" i="9"/>
  <c r="G34" i="9"/>
  <c r="J30" i="9"/>
  <c r="G30" i="9"/>
  <c r="J27" i="9"/>
  <c r="G27" i="9"/>
  <c r="J17" i="9"/>
  <c r="J13" i="9"/>
  <c r="H39" i="9"/>
  <c r="K38" i="9"/>
  <c r="H38" i="9"/>
  <c r="K37" i="9"/>
  <c r="H37" i="9"/>
  <c r="K36" i="9"/>
  <c r="H36" i="9"/>
  <c r="K35" i="9"/>
  <c r="H35" i="9"/>
  <c r="K34" i="9"/>
  <c r="H34" i="9"/>
  <c r="K30" i="9"/>
  <c r="H30" i="9"/>
  <c r="K27" i="9"/>
  <c r="H27" i="9"/>
  <c r="K13" i="9"/>
  <c r="H13" i="9"/>
  <c r="M36" i="1" l="1"/>
  <c r="M329" i="4"/>
  <c r="L24" i="1"/>
  <c r="L22" i="1" s="1"/>
  <c r="J12" i="9" s="1"/>
  <c r="O25" i="2"/>
  <c r="O25" i="44"/>
  <c r="O23" i="44" s="1"/>
  <c r="M11" i="36"/>
  <c r="M10" i="36"/>
  <c r="N25" i="2"/>
  <c r="N25" i="44"/>
  <c r="N23" i="44" s="1"/>
  <c r="K25" i="44"/>
  <c r="K23" i="44" s="1"/>
  <c r="K10" i="44" s="1"/>
  <c r="K79" i="44" s="1"/>
  <c r="K87" i="44" s="1"/>
  <c r="K80" i="44" s="1"/>
  <c r="K25" i="2"/>
  <c r="K11" i="36" s="1"/>
  <c r="L25" i="44"/>
  <c r="L23" i="44" s="1"/>
  <c r="L10" i="44" s="1"/>
  <c r="L79" i="44" s="1"/>
  <c r="L87" i="44" s="1"/>
  <c r="L80" i="44" s="1"/>
  <c r="L25" i="2"/>
  <c r="L11" i="36" s="1"/>
  <c r="F25" i="44"/>
  <c r="F23" i="44" s="1"/>
  <c r="F10" i="44" s="1"/>
  <c r="F79" i="44" s="1"/>
  <c r="F93" i="44" s="1"/>
  <c r="F100" i="44" s="1"/>
  <c r="F104" i="44" s="1"/>
  <c r="F25" i="2"/>
  <c r="N39" i="2"/>
  <c r="N39" i="44"/>
  <c r="N37" i="44" s="1"/>
  <c r="N34" i="44" s="1"/>
  <c r="M25" i="2"/>
  <c r="M23" i="2" s="1"/>
  <c r="E11" i="10" s="1"/>
  <c r="M25" i="44"/>
  <c r="M23" i="44" s="1"/>
  <c r="M10" i="44" s="1"/>
  <c r="O196" i="8"/>
  <c r="O36" i="1"/>
  <c r="K329" i="4"/>
  <c r="K36" i="1"/>
  <c r="J329" i="4"/>
  <c r="J36" i="1"/>
  <c r="L329" i="4"/>
  <c r="L36" i="1"/>
  <c r="G36" i="1"/>
  <c r="G329" i="4"/>
  <c r="O24" i="1"/>
  <c r="O23" i="1"/>
  <c r="N24" i="1"/>
  <c r="N23" i="1"/>
  <c r="I22" i="1"/>
  <c r="I10" i="1" s="1"/>
  <c r="I82" i="1" s="1"/>
  <c r="K22" i="1"/>
  <c r="G12" i="9" s="1"/>
  <c r="E38" i="2"/>
  <c r="E359" i="3"/>
  <c r="E360" i="3" s="1"/>
  <c r="E227" i="8"/>
  <c r="H37" i="2"/>
  <c r="H34" i="2" s="1"/>
  <c r="H84" i="2" s="1"/>
  <c r="J360" i="3"/>
  <c r="J358" i="3" s="1"/>
  <c r="J363" i="3" s="1"/>
  <c r="J227" i="8"/>
  <c r="M227" i="8"/>
  <c r="G38" i="2"/>
  <c r="G359" i="3"/>
  <c r="G360" i="3" s="1"/>
  <c r="G227" i="8"/>
  <c r="F267" i="8"/>
  <c r="F39" i="2" s="1"/>
  <c r="F38" i="2"/>
  <c r="F359" i="3"/>
  <c r="F227" i="8"/>
  <c r="L267" i="8"/>
  <c r="L360" i="3"/>
  <c r="L227" i="8"/>
  <c r="O267" i="8"/>
  <c r="O39" i="2" s="1"/>
  <c r="O227" i="8"/>
  <c r="K267" i="8"/>
  <c r="I34" i="2"/>
  <c r="K360" i="3"/>
  <c r="K358" i="3" s="1"/>
  <c r="K363" i="3" s="1"/>
  <c r="K227" i="8"/>
  <c r="G48" i="1"/>
  <c r="G38" i="1" s="1"/>
  <c r="N196" i="8"/>
  <c r="N223" i="8"/>
  <c r="J18" i="10"/>
  <c r="J33" i="9"/>
  <c r="G33" i="9"/>
  <c r="H11" i="9"/>
  <c r="H33" i="9"/>
  <c r="K33" i="9"/>
  <c r="K23" i="2"/>
  <c r="G193" i="8"/>
  <c r="J193" i="8"/>
  <c r="G152" i="8"/>
  <c r="G24" i="1" s="1"/>
  <c r="G22" i="1" s="1"/>
  <c r="D18" i="10"/>
  <c r="G18" i="10"/>
  <c r="L23" i="2"/>
  <c r="E152" i="8"/>
  <c r="E24" i="1" s="1"/>
  <c r="E22" i="1" s="1"/>
  <c r="E193" i="8"/>
  <c r="J152" i="8"/>
  <c r="G267" i="8"/>
  <c r="B56" i="21"/>
  <c r="E267" i="8"/>
  <c r="E39" i="2" s="1"/>
  <c r="K17" i="9"/>
  <c r="H17" i="9"/>
  <c r="J15" i="9"/>
  <c r="O223" i="8"/>
  <c r="O37" i="1" s="1"/>
  <c r="N23" i="2"/>
  <c r="H11" i="10" s="1"/>
  <c r="O23" i="2"/>
  <c r="O38" i="2"/>
  <c r="O37" i="2" s="1"/>
  <c r="N38" i="2"/>
  <c r="N37" i="2" s="1"/>
  <c r="T358" i="3"/>
  <c r="T363" i="3" s="1"/>
  <c r="J32" i="9"/>
  <c r="G11" i="9"/>
  <c r="G11" i="10"/>
  <c r="J11" i="9"/>
  <c r="J11" i="10"/>
  <c r="K11" i="9"/>
  <c r="K11" i="10"/>
  <c r="H32" i="9"/>
  <c r="G18" i="9"/>
  <c r="H18" i="9"/>
  <c r="J18" i="9"/>
  <c r="K18" i="9"/>
  <c r="G32" i="9"/>
  <c r="K32" i="9"/>
  <c r="J31" i="9"/>
  <c r="H31" i="9"/>
  <c r="M152" i="8" l="1"/>
  <c r="M24" i="1" s="1"/>
  <c r="K12" i="32" s="1"/>
  <c r="J24" i="1"/>
  <c r="J12" i="32" s="1"/>
  <c r="J25" i="44"/>
  <c r="J23" i="44" s="1"/>
  <c r="J10" i="44" s="1"/>
  <c r="J79" i="44" s="1"/>
  <c r="J87" i="44" s="1"/>
  <c r="J80" i="44" s="1"/>
  <c r="J25" i="2"/>
  <c r="J11" i="36" s="1"/>
  <c r="E25" i="44"/>
  <c r="E23" i="44" s="1"/>
  <c r="E10" i="44" s="1"/>
  <c r="E79" i="44" s="1"/>
  <c r="E87" i="44" s="1"/>
  <c r="E80" i="44" s="1"/>
  <c r="E93" i="44" s="1"/>
  <c r="E104" i="44" s="1"/>
  <c r="E25" i="2"/>
  <c r="G25" i="44"/>
  <c r="G23" i="44" s="1"/>
  <c r="G10" i="44" s="1"/>
  <c r="G25" i="2"/>
  <c r="H105" i="44"/>
  <c r="H106" i="44"/>
  <c r="I106" i="44"/>
  <c r="L1" i="44"/>
  <c r="L93" i="44"/>
  <c r="L104" i="44" s="1"/>
  <c r="K1" i="44"/>
  <c r="K93" i="44"/>
  <c r="K104" i="44" s="1"/>
  <c r="G39" i="2"/>
  <c r="G39" i="44"/>
  <c r="G37" i="44" s="1"/>
  <c r="G34" i="44" s="1"/>
  <c r="G79" i="44" s="1"/>
  <c r="G87" i="44" s="1"/>
  <c r="G80" i="44" s="1"/>
  <c r="G93" i="44" s="1"/>
  <c r="G104" i="44" s="1"/>
  <c r="M39" i="44"/>
  <c r="M37" i="44" s="1"/>
  <c r="M34" i="44" s="1"/>
  <c r="I21" i="36"/>
  <c r="I84" i="2"/>
  <c r="I92" i="2" s="1"/>
  <c r="M22" i="1"/>
  <c r="G330" i="4"/>
  <c r="G37" i="1" s="1"/>
  <c r="O35" i="1"/>
  <c r="N37" i="1"/>
  <c r="N35" i="1" s="1"/>
  <c r="H19" i="9" s="1"/>
  <c r="H16" i="9" s="1"/>
  <c r="N22" i="1"/>
  <c r="H12" i="9" s="1"/>
  <c r="O22" i="1"/>
  <c r="N10" i="1"/>
  <c r="N82" i="1" s="1"/>
  <c r="I25" i="36"/>
  <c r="K8" i="35" s="1"/>
  <c r="K7" i="35" s="1"/>
  <c r="H92" i="2"/>
  <c r="H21" i="36"/>
  <c r="H25" i="36" s="1"/>
  <c r="J8" i="35" s="1"/>
  <c r="J7" i="35" s="1"/>
  <c r="F37" i="2"/>
  <c r="F34" i="2" s="1"/>
  <c r="H22" i="1"/>
  <c r="H10" i="1" s="1"/>
  <c r="H82" i="1" s="1"/>
  <c r="J22" i="1"/>
  <c r="I92" i="1"/>
  <c r="K17" i="33" s="1"/>
  <c r="F360" i="3"/>
  <c r="F358" i="3" s="1"/>
  <c r="F363" i="3" s="1"/>
  <c r="N50" i="2"/>
  <c r="G50" i="2"/>
  <c r="G40" i="2" s="1"/>
  <c r="S358" i="3"/>
  <c r="S363" i="3" s="1"/>
  <c r="M37" i="2"/>
  <c r="E18" i="10" s="1"/>
  <c r="E50" i="2"/>
  <c r="E40" i="2" s="1"/>
  <c r="B57" i="21"/>
  <c r="E37" i="2"/>
  <c r="E34" i="2" s="1"/>
  <c r="B60" i="21"/>
  <c r="B58" i="21"/>
  <c r="G37" i="2"/>
  <c r="G34" i="2" s="1"/>
  <c r="J23" i="2"/>
  <c r="D50" i="2"/>
  <c r="D40" i="2" s="1"/>
  <c r="H21" i="10"/>
  <c r="H19" i="10" s="1"/>
  <c r="N40" i="2"/>
  <c r="O50" i="2"/>
  <c r="O40" i="2" s="1"/>
  <c r="G23" i="2"/>
  <c r="E17" i="10"/>
  <c r="O36" i="2"/>
  <c r="K17" i="10" s="1"/>
  <c r="D34" i="2"/>
  <c r="F23" i="2"/>
  <c r="E23" i="2"/>
  <c r="D35" i="1"/>
  <c r="H18" i="10"/>
  <c r="H15" i="10" s="1"/>
  <c r="N34" i="2"/>
  <c r="K18" i="10"/>
  <c r="K15" i="9"/>
  <c r="K9" i="9"/>
  <c r="H15" i="9"/>
  <c r="N11" i="2"/>
  <c r="O11" i="2"/>
  <c r="E30" i="9"/>
  <c r="D30" i="9"/>
  <c r="M10" i="1" l="1"/>
  <c r="K11" i="32"/>
  <c r="K8" i="32" s="1"/>
  <c r="K107" i="44"/>
  <c r="K106" i="44"/>
  <c r="L105" i="44"/>
  <c r="L107" i="44"/>
  <c r="L106" i="44"/>
  <c r="J93" i="44"/>
  <c r="J1" i="44"/>
  <c r="G107" i="44"/>
  <c r="G106" i="44"/>
  <c r="G105" i="44"/>
  <c r="G328" i="4"/>
  <c r="G333" i="4" s="1"/>
  <c r="O10" i="1"/>
  <c r="O82" i="1" s="1"/>
  <c r="K12" i="9"/>
  <c r="H85" i="2"/>
  <c r="H98" i="2" s="1"/>
  <c r="H109" i="2" s="1"/>
  <c r="J17" i="35"/>
  <c r="J6" i="35" s="1"/>
  <c r="J21" i="35" s="1"/>
  <c r="I85" i="2"/>
  <c r="I98" i="2" s="1"/>
  <c r="K17" i="35"/>
  <c r="K6" i="35" s="1"/>
  <c r="K21" i="35" s="1"/>
  <c r="I85" i="1"/>
  <c r="I19" i="35"/>
  <c r="I17" i="35" s="1"/>
  <c r="I86" i="1"/>
  <c r="H92" i="1"/>
  <c r="H85" i="1" s="1"/>
  <c r="H2" i="1" s="1"/>
  <c r="H9" i="9"/>
  <c r="D11" i="10"/>
  <c r="B61" i="21"/>
  <c r="B59" i="21"/>
  <c r="K15" i="10"/>
  <c r="K19" i="9"/>
  <c r="K16" i="9" s="1"/>
  <c r="O34" i="2"/>
  <c r="M34" i="2"/>
  <c r="K8" i="10"/>
  <c r="K7" i="10" s="1"/>
  <c r="H8" i="10"/>
  <c r="H7" i="10" s="1"/>
  <c r="H39" i="10" s="1"/>
  <c r="J9" i="9"/>
  <c r="G9" i="9"/>
  <c r="D27" i="9"/>
  <c r="D465" i="4"/>
  <c r="D459" i="4"/>
  <c r="E453" i="4"/>
  <c r="D453" i="4"/>
  <c r="E39" i="9"/>
  <c r="E38" i="9"/>
  <c r="E37" i="9"/>
  <c r="D37" i="9"/>
  <c r="E36" i="9"/>
  <c r="D36" i="9"/>
  <c r="E35" i="9"/>
  <c r="D35" i="9"/>
  <c r="E34" i="9"/>
  <c r="D34" i="9"/>
  <c r="D39" i="9"/>
  <c r="E441" i="4"/>
  <c r="E78" i="1" s="1"/>
  <c r="E72" i="1" s="1"/>
  <c r="E419" i="4"/>
  <c r="E71" i="1" s="1"/>
  <c r="D419" i="4"/>
  <c r="D71" i="1" s="1"/>
  <c r="E414" i="4"/>
  <c r="E70" i="1" s="1"/>
  <c r="D414" i="4"/>
  <c r="D70" i="1" s="1"/>
  <c r="E410" i="4"/>
  <c r="E69" i="1" s="1"/>
  <c r="D410" i="4"/>
  <c r="D69" i="1" s="1"/>
  <c r="D32" i="9"/>
  <c r="E403" i="4"/>
  <c r="E68" i="1" s="1"/>
  <c r="D403" i="4"/>
  <c r="D31" i="9"/>
  <c r="D65" i="1"/>
  <c r="E12" i="9"/>
  <c r="D12" i="9"/>
  <c r="D22" i="1"/>
  <c r="J104" i="44" l="1"/>
  <c r="O111" i="44"/>
  <c r="M21" i="36"/>
  <c r="M87" i="1"/>
  <c r="E42" i="9" s="1"/>
  <c r="E41" i="9" s="1"/>
  <c r="I1" i="2"/>
  <c r="H1" i="2"/>
  <c r="I109" i="2"/>
  <c r="I110" i="2" s="1"/>
  <c r="J17" i="33"/>
  <c r="K30" i="35"/>
  <c r="J30" i="35"/>
  <c r="H112" i="2"/>
  <c r="I93" i="1"/>
  <c r="I105" i="1" s="1"/>
  <c r="I2" i="1"/>
  <c r="H86" i="1"/>
  <c r="H93" i="1"/>
  <c r="H105" i="1" s="1"/>
  <c r="D476" i="4"/>
  <c r="D33" i="1"/>
  <c r="D32" i="1" s="1"/>
  <c r="K39" i="10"/>
  <c r="K51" i="10" s="1"/>
  <c r="K52" i="10" s="1"/>
  <c r="E67" i="1"/>
  <c r="E32" i="9"/>
  <c r="D72" i="1"/>
  <c r="E31" i="9"/>
  <c r="G31" i="9"/>
  <c r="E33" i="9"/>
  <c r="D421" i="4"/>
  <c r="E421" i="4"/>
  <c r="E258" i="4"/>
  <c r="E261" i="4" s="1"/>
  <c r="D258" i="4"/>
  <c r="D261" i="4" s="1"/>
  <c r="O110" i="44" l="1"/>
  <c r="P111" i="44"/>
  <c r="O115" i="44"/>
  <c r="O116" i="44" s="1"/>
  <c r="J106" i="44"/>
  <c r="J105" i="44"/>
  <c r="J107" i="44"/>
  <c r="K105" i="44"/>
  <c r="I112" i="2"/>
  <c r="K31" i="35"/>
  <c r="J31" i="35"/>
  <c r="I107" i="1"/>
  <c r="I115" i="1" s="1"/>
  <c r="H107" i="1"/>
  <c r="E17" i="9"/>
  <c r="D31" i="1"/>
  <c r="E15" i="10"/>
  <c r="E13" i="9"/>
  <c r="D38" i="9"/>
  <c r="D33" i="9" s="1"/>
  <c r="G17" i="9"/>
  <c r="E11" i="9"/>
  <c r="D11" i="9"/>
  <c r="G21" i="1"/>
  <c r="F21" i="1"/>
  <c r="F10" i="1" s="1"/>
  <c r="E251" i="4"/>
  <c r="D251" i="4"/>
  <c r="D254" i="4" s="1"/>
  <c r="D262" i="4" s="1"/>
  <c r="D21" i="1" s="1"/>
  <c r="I108" i="1" l="1"/>
  <c r="K33" i="35"/>
  <c r="H115" i="1"/>
  <c r="E254" i="4"/>
  <c r="E262" i="4" s="1"/>
  <c r="E21" i="1" s="1"/>
  <c r="E31" i="1"/>
  <c r="E27" i="1" s="1"/>
  <c r="D27" i="1"/>
  <c r="E15" i="9"/>
  <c r="G15" i="9"/>
  <c r="G13" i="9"/>
  <c r="D15" i="9"/>
  <c r="E234" i="4"/>
  <c r="E240" i="4" s="1"/>
  <c r="E20" i="1" s="1"/>
  <c r="D219" i="4" l="1"/>
  <c r="J18" i="1"/>
  <c r="G18" i="1"/>
  <c r="E192" i="4"/>
  <c r="E195" i="4" s="1"/>
  <c r="E18" i="1" s="1"/>
  <c r="D192" i="4"/>
  <c r="D195" i="4" s="1"/>
  <c r="E173" i="4"/>
  <c r="D173" i="4"/>
  <c r="E10" i="9" l="1"/>
  <c r="M11" i="2"/>
  <c r="M10" i="2" l="1"/>
  <c r="M8" i="36"/>
  <c r="E8" i="10"/>
  <c r="E7" i="10" s="1"/>
  <c r="G11" i="2"/>
  <c r="F11" i="2"/>
  <c r="E11" i="2"/>
  <c r="E9" i="9"/>
  <c r="E8" i="9" s="1"/>
  <c r="D11" i="1"/>
  <c r="D66" i="2" l="1"/>
  <c r="D65" i="2" s="1"/>
  <c r="D84" i="2" s="1"/>
  <c r="D42" i="9" l="1"/>
  <c r="G42" i="9"/>
  <c r="J42" i="9"/>
  <c r="F86" i="1"/>
  <c r="D85" i="1" l="1"/>
  <c r="D86" i="1" l="1"/>
  <c r="J41" i="10"/>
  <c r="G41" i="10"/>
  <c r="D41" i="10"/>
  <c r="D98" i="2" l="1"/>
  <c r="D109" i="2" s="1"/>
  <c r="J17" i="10"/>
  <c r="J15" i="10" s="1"/>
  <c r="J34" i="2"/>
  <c r="J21" i="36" s="1"/>
  <c r="G17" i="10"/>
  <c r="G15" i="10" s="1"/>
  <c r="L34" i="2" l="1"/>
  <c r="L21" i="36" s="1"/>
  <c r="K34" i="2"/>
  <c r="K21" i="36" s="1"/>
  <c r="D17" i="10"/>
  <c r="D15" i="10" s="1"/>
  <c r="G14" i="9" l="1"/>
  <c r="J14" i="9"/>
  <c r="E46" i="10" l="1"/>
  <c r="E41" i="10" l="1"/>
  <c r="E40" i="10" s="1"/>
  <c r="H40" i="10" l="1"/>
  <c r="H51" i="10" s="1"/>
  <c r="H52" i="10" s="1"/>
  <c r="E174" i="4"/>
  <c r="E177" i="4" s="1"/>
  <c r="E17" i="1" s="1"/>
  <c r="E15" i="1" l="1"/>
  <c r="E10" i="1" s="1"/>
  <c r="G174" i="4"/>
  <c r="G177" i="4" s="1"/>
  <c r="G17" i="1" l="1"/>
  <c r="G15" i="1" s="1"/>
  <c r="G10" i="1" s="1"/>
  <c r="J174" i="4"/>
  <c r="J177" i="4" s="1"/>
  <c r="J7" i="30" s="1"/>
  <c r="J36" i="30" s="1"/>
  <c r="L13" i="33" l="1"/>
  <c r="J15" i="1"/>
  <c r="J10" i="1" l="1"/>
  <c r="D10" i="9"/>
  <c r="D15" i="1"/>
  <c r="D10" i="1" s="1"/>
  <c r="D82" i="1" s="1"/>
  <c r="D174" i="4"/>
  <c r="D177" i="4" s="1"/>
  <c r="K10" i="1"/>
  <c r="L10" i="1"/>
  <c r="D111" i="1" l="1"/>
  <c r="D93" i="1"/>
  <c r="D105" i="1" s="1"/>
  <c r="D107" i="1" s="1"/>
  <c r="J10" i="9"/>
  <c r="J8" i="9" s="1"/>
  <c r="H10" i="9"/>
  <c r="H8" i="9" s="1"/>
  <c r="H40" i="9" s="1"/>
  <c r="H52" i="9" s="1"/>
  <c r="H53" i="9" s="1"/>
  <c r="K10" i="9"/>
  <c r="K8" i="9" s="1"/>
  <c r="K40" i="9" s="1"/>
  <c r="K52" i="9" s="1"/>
  <c r="K53" i="9" s="1"/>
  <c r="G10" i="9"/>
  <c r="G8" i="9" s="1"/>
  <c r="F17" i="2" l="1"/>
  <c r="F15" i="2" s="1"/>
  <c r="F10" i="2" s="1"/>
  <c r="F84" i="2" s="1"/>
  <c r="F98" i="2" l="1"/>
  <c r="F105" i="2" s="1"/>
  <c r="G17" i="2"/>
  <c r="G15" i="2" s="1"/>
  <c r="G10" i="2" s="1"/>
  <c r="E17" i="2"/>
  <c r="E15" i="2" s="1"/>
  <c r="E10" i="2" s="1"/>
  <c r="K15" i="2"/>
  <c r="G84" i="2" l="1"/>
  <c r="G92" i="2" s="1"/>
  <c r="G85" i="2" s="1"/>
  <c r="G98" i="2" s="1"/>
  <c r="G109" i="2" s="1"/>
  <c r="G112" i="2" s="1"/>
  <c r="E84" i="2"/>
  <c r="E92" i="2" s="1"/>
  <c r="E85" i="2" s="1"/>
  <c r="E98" i="2" s="1"/>
  <c r="E109" i="2" s="1"/>
  <c r="G9" i="10"/>
  <c r="G7" i="10" s="1"/>
  <c r="K10" i="2"/>
  <c r="J15" i="2"/>
  <c r="J10" i="2" s="1"/>
  <c r="L15" i="2"/>
  <c r="D9" i="10" l="1"/>
  <c r="D7" i="10" s="1"/>
  <c r="J9" i="10"/>
  <c r="J7" i="10" s="1"/>
  <c r="L10" i="2"/>
  <c r="D223" i="8"/>
  <c r="F223" i="8"/>
  <c r="F37" i="1" s="1"/>
  <c r="F35" i="1" s="1"/>
  <c r="F32" i="1" s="1"/>
  <c r="F82" i="1" s="1"/>
  <c r="E329" i="4"/>
  <c r="E330" i="4" s="1"/>
  <c r="E223" i="8"/>
  <c r="B48" i="21"/>
  <c r="G223" i="8"/>
  <c r="K223" i="8"/>
  <c r="L223" i="8"/>
  <c r="J223" i="8"/>
  <c r="M223" i="8" s="1"/>
  <c r="M330" i="4" l="1"/>
  <c r="M328" i="4" s="1"/>
  <c r="M37" i="1"/>
  <c r="M35" i="1" s="1"/>
  <c r="E19" i="9" s="1"/>
  <c r="E16" i="9" s="1"/>
  <c r="J330" i="4"/>
  <c r="J328" i="4" s="1"/>
  <c r="J333" i="4" s="1"/>
  <c r="J37" i="1"/>
  <c r="J35" i="1" s="1"/>
  <c r="J32" i="1" s="1"/>
  <c r="J20" i="32" s="1"/>
  <c r="K330" i="4"/>
  <c r="K328" i="4" s="1"/>
  <c r="K333" i="4" s="1"/>
  <c r="K37" i="1"/>
  <c r="K35" i="1" s="1"/>
  <c r="L330" i="4"/>
  <c r="L328" i="4" s="1"/>
  <c r="L333" i="4" s="1"/>
  <c r="L37" i="1"/>
  <c r="L35" i="1" s="1"/>
  <c r="L32" i="1" s="1"/>
  <c r="E333" i="4"/>
  <c r="E37" i="1"/>
  <c r="F93" i="1"/>
  <c r="F105" i="1" s="1"/>
  <c r="F107" i="1" s="1"/>
  <c r="F111" i="1"/>
  <c r="G35" i="1"/>
  <c r="B50" i="21"/>
  <c r="B52" i="21"/>
  <c r="R358" i="3"/>
  <c r="R363" i="3" s="1"/>
  <c r="K32" i="1"/>
  <c r="G358" i="3"/>
  <c r="G363" i="3" s="1"/>
  <c r="Q358" i="3"/>
  <c r="Q363" i="3" s="1"/>
  <c r="L358" i="3"/>
  <c r="L363" i="3" s="1"/>
  <c r="D19" i="9" l="1"/>
  <c r="D16" i="9" s="1"/>
  <c r="I109" i="1"/>
  <c r="H109" i="1"/>
  <c r="G32" i="1"/>
  <c r="G82" i="1" s="1"/>
  <c r="J19" i="9"/>
  <c r="J16" i="9" s="1"/>
  <c r="B49" i="21"/>
  <c r="E35" i="1"/>
  <c r="E32" i="1" s="1"/>
  <c r="E82" i="1" s="1"/>
  <c r="G19" i="9"/>
  <c r="G16" i="9" s="1"/>
  <c r="D14" i="9"/>
  <c r="D8" i="9" s="1"/>
  <c r="G92" i="1" l="1"/>
  <c r="G111" i="1"/>
  <c r="E111" i="1"/>
  <c r="E92" i="1"/>
  <c r="E85" i="1" s="1"/>
  <c r="E86" i="1" s="1"/>
  <c r="B53" i="21"/>
  <c r="B51" i="21"/>
  <c r="G85" i="1" l="1"/>
  <c r="G86" i="1" s="1"/>
  <c r="E93" i="1"/>
  <c r="E105" i="1" s="1"/>
  <c r="E107" i="1" s="1"/>
  <c r="G93" i="1" l="1"/>
  <c r="G105" i="1" s="1"/>
  <c r="G107" i="1" s="1"/>
  <c r="D363" i="3"/>
  <c r="G109" i="1" l="1"/>
  <c r="G115" i="1"/>
  <c r="H108" i="1"/>
  <c r="G108" i="1"/>
  <c r="E22" i="9"/>
  <c r="M50" i="2" l="1"/>
  <c r="E21" i="10" l="1"/>
  <c r="E20" i="10" l="1"/>
  <c r="E19" i="10" s="1"/>
  <c r="E21" i="9" l="1"/>
  <c r="E20" i="9" s="1"/>
  <c r="E40" i="9" s="1"/>
  <c r="E52" i="9" s="1"/>
  <c r="E53" i="9" s="1"/>
  <c r="E25" i="9"/>
  <c r="E24" i="10" l="1"/>
  <c r="E26" i="9"/>
  <c r="E25" i="10"/>
  <c r="J48" i="1" l="1"/>
  <c r="J38" i="1" s="1"/>
  <c r="J82" i="1" s="1"/>
  <c r="J50" i="2"/>
  <c r="J21" i="32" l="1"/>
  <c r="J24" i="32" s="1"/>
  <c r="L8" i="33" s="1"/>
  <c r="L7" i="33" s="1"/>
  <c r="J92" i="1"/>
  <c r="L17" i="33" s="1"/>
  <c r="J40" i="2"/>
  <c r="D21" i="10"/>
  <c r="D19" i="10" s="1"/>
  <c r="D39" i="10" s="1"/>
  <c r="D22" i="9"/>
  <c r="D20" i="9" s="1"/>
  <c r="D40" i="9" s="1"/>
  <c r="J22" i="36" l="1"/>
  <c r="J25" i="36" s="1"/>
  <c r="L8" i="35" s="1"/>
  <c r="L7" i="35" s="1"/>
  <c r="J84" i="2"/>
  <c r="J92" i="2" s="1"/>
  <c r="L17" i="35" s="1"/>
  <c r="L6" i="33"/>
  <c r="J85" i="1"/>
  <c r="J111" i="1"/>
  <c r="L6" i="35" l="1"/>
  <c r="J2" i="1"/>
  <c r="L21" i="33"/>
  <c r="D47" i="9"/>
  <c r="D41" i="9" s="1"/>
  <c r="D52" i="9" s="1"/>
  <c r="D53" i="9" s="1"/>
  <c r="D46" i="10"/>
  <c r="D40" i="10" s="1"/>
  <c r="D51" i="10" s="1"/>
  <c r="J85" i="2"/>
  <c r="J98" i="2" s="1"/>
  <c r="J1" i="2" l="1"/>
  <c r="L30" i="33"/>
  <c r="J86" i="1"/>
  <c r="J93" i="1"/>
  <c r="J105" i="1" s="1"/>
  <c r="L21" i="35" l="1"/>
  <c r="J109" i="2"/>
  <c r="J110" i="2" s="1"/>
  <c r="J107" i="1"/>
  <c r="J108" i="1" s="1"/>
  <c r="L31" i="33"/>
  <c r="L33" i="33" s="1"/>
  <c r="J109" i="1"/>
  <c r="D5" i="10"/>
  <c r="D52" i="10" s="1"/>
  <c r="K50" i="2"/>
  <c r="K40" i="2" s="1"/>
  <c r="L50" i="2"/>
  <c r="J112" i="2" l="1"/>
  <c r="K22" i="36"/>
  <c r="K25" i="36" s="1"/>
  <c r="M8" i="35" s="1"/>
  <c r="M7" i="35" s="1"/>
  <c r="K84" i="2"/>
  <c r="K92" i="2" s="1"/>
  <c r="M17" i="35" s="1"/>
  <c r="L30" i="35"/>
  <c r="J115" i="1"/>
  <c r="L48" i="1"/>
  <c r="L38" i="1" s="1"/>
  <c r="L82" i="1" s="1"/>
  <c r="K48" i="1"/>
  <c r="K38" i="1" s="1"/>
  <c r="K82" i="1" s="1"/>
  <c r="J21" i="10"/>
  <c r="J19" i="10" s="1"/>
  <c r="J39" i="10" s="1"/>
  <c r="L40" i="2"/>
  <c r="G21" i="10"/>
  <c r="G19" i="10" s="1"/>
  <c r="G39" i="10" s="1"/>
  <c r="L22" i="36" l="1"/>
  <c r="L25" i="36" s="1"/>
  <c r="N8" i="35" s="1"/>
  <c r="N7" i="35" s="1"/>
  <c r="L84" i="2"/>
  <c r="L92" i="2" s="1"/>
  <c r="M6" i="35"/>
  <c r="L31" i="35"/>
  <c r="L33" i="35" s="1"/>
  <c r="K92" i="1"/>
  <c r="M17" i="33" s="1"/>
  <c r="L92" i="1"/>
  <c r="N17" i="33" s="1"/>
  <c r="J22" i="9"/>
  <c r="J20" i="9" s="1"/>
  <c r="J40" i="9" s="1"/>
  <c r="G22" i="9"/>
  <c r="G20" i="9" s="1"/>
  <c r="G40" i="9" s="1"/>
  <c r="G46" i="10"/>
  <c r="G40" i="10" s="1"/>
  <c r="G51" i="10" s="1"/>
  <c r="G52" i="10" s="1"/>
  <c r="K85" i="2"/>
  <c r="N6" i="35" l="1"/>
  <c r="N21" i="35" s="1"/>
  <c r="N7" i="33"/>
  <c r="N6" i="33" s="1"/>
  <c r="K1" i="2"/>
  <c r="L85" i="1"/>
  <c r="L86" i="1" s="1"/>
  <c r="K98" i="2"/>
  <c r="L111" i="1"/>
  <c r="J47" i="9"/>
  <c r="J41" i="9" s="1"/>
  <c r="J52" i="9" s="1"/>
  <c r="J53" i="9" s="1"/>
  <c r="J46" i="10"/>
  <c r="J40" i="10" s="1"/>
  <c r="J51" i="10" s="1"/>
  <c r="J52" i="10" s="1"/>
  <c r="L85" i="2"/>
  <c r="K111" i="1"/>
  <c r="K85" i="1"/>
  <c r="N21" i="33" l="1"/>
  <c r="M30" i="35"/>
  <c r="K109" i="2"/>
  <c r="K110" i="2" s="1"/>
  <c r="L1" i="2"/>
  <c r="K2" i="1"/>
  <c r="N30" i="33"/>
  <c r="L105" i="1"/>
  <c r="L2" i="1"/>
  <c r="L93" i="1"/>
  <c r="L98" i="2"/>
  <c r="G47" i="9"/>
  <c r="G41" i="9" s="1"/>
  <c r="G52" i="9" s="1"/>
  <c r="G53" i="9" s="1"/>
  <c r="K112" i="2" l="1"/>
  <c r="N30" i="35"/>
  <c r="L109" i="2"/>
  <c r="L110" i="2" s="1"/>
  <c r="M31" i="35"/>
  <c r="L107" i="1"/>
  <c r="L115" i="1" s="1"/>
  <c r="N31" i="33"/>
  <c r="K86" i="1"/>
  <c r="K105" i="1"/>
  <c r="K93" i="1"/>
  <c r="L112" i="2" l="1"/>
  <c r="L109" i="1"/>
  <c r="N31" i="35"/>
  <c r="N33" i="35" s="1"/>
  <c r="M33" i="35"/>
  <c r="K107" i="1"/>
  <c r="K109" i="1" s="1"/>
  <c r="L108" i="1" l="1"/>
  <c r="K108" i="1"/>
  <c r="K115" i="1"/>
  <c r="E27" i="9"/>
  <c r="Q117" i="1" l="1"/>
  <c r="E27" i="10" l="1"/>
  <c r="E26" i="10" l="1"/>
  <c r="M40" i="2"/>
  <c r="M84" i="2" s="1"/>
  <c r="M98" i="2" s="1"/>
  <c r="M105" i="2" s="1"/>
  <c r="O116" i="2" s="1"/>
  <c r="F109" i="2"/>
  <c r="F476" i="3"/>
  <c r="M22" i="36" l="1"/>
  <c r="M13" i="36"/>
  <c r="M7" i="36" s="1"/>
  <c r="G110" i="2"/>
  <c r="H111" i="2"/>
  <c r="H110" i="2"/>
  <c r="I111" i="2"/>
  <c r="G111" i="2"/>
  <c r="J111" i="2"/>
  <c r="K111" i="2"/>
  <c r="L111" i="2"/>
  <c r="M25" i="36" l="1"/>
  <c r="O8" i="35" s="1"/>
  <c r="O7" i="35" s="1"/>
  <c r="E33" i="10"/>
  <c r="E32" i="10" s="1"/>
  <c r="E39" i="10" s="1"/>
  <c r="E51" i="10" s="1"/>
  <c r="E52" i="10" s="1"/>
  <c r="P8" i="35" l="1"/>
  <c r="P7" i="35" s="1"/>
  <c r="O6" i="35"/>
  <c r="O30" i="35" s="1"/>
  <c r="O21" i="35"/>
  <c r="P92" i="2"/>
  <c r="Q8" i="35" l="1"/>
  <c r="Q7" i="35" s="1"/>
  <c r="Q21" i="35" s="1"/>
  <c r="N41" i="35"/>
  <c r="N40" i="35" s="1"/>
  <c r="O31" i="35"/>
  <c r="P21" i="35"/>
  <c r="P6" i="35"/>
  <c r="P30" i="35" s="1"/>
  <c r="P116" i="2"/>
  <c r="M42" i="35" l="1"/>
  <c r="O40" i="35"/>
  <c r="O41" i="35" s="1"/>
  <c r="P41" i="35" s="1"/>
  <c r="P40" i="35" s="1"/>
  <c r="Q6" i="35"/>
  <c r="P31" i="35"/>
  <c r="K8" i="33"/>
  <c r="Q30" i="35" l="1"/>
  <c r="Q31" i="35" s="1"/>
  <c r="O42" i="35"/>
  <c r="Q40" i="35"/>
  <c r="Q41" i="35" s="1"/>
  <c r="I8" i="35"/>
  <c r="K7" i="33"/>
  <c r="R41" i="35" l="1"/>
  <c r="R40" i="35" s="1"/>
  <c r="Q42" i="35" s="1"/>
  <c r="K6" i="33"/>
  <c r="K21" i="33" s="1"/>
  <c r="I7" i="35"/>
  <c r="K30" i="33" l="1"/>
  <c r="I6" i="35"/>
  <c r="I21" i="35" s="1"/>
  <c r="K31" i="33"/>
  <c r="J8" i="33"/>
  <c r="J7" i="33" s="1"/>
  <c r="I30" i="35" l="1"/>
  <c r="I31" i="35" s="1"/>
  <c r="I33" i="35" s="1"/>
  <c r="J6" i="33"/>
  <c r="J21" i="33" s="1"/>
  <c r="J30" i="33" l="1"/>
  <c r="J31" i="33" s="1"/>
  <c r="K33" i="33" l="1"/>
  <c r="M18" i="30"/>
  <c r="M36" i="30" s="1"/>
  <c r="O13" i="33" s="1"/>
  <c r="M333" i="4"/>
  <c r="M34" i="1"/>
  <c r="M32" i="1" s="1"/>
  <c r="M82" i="1" l="1"/>
  <c r="K20" i="32"/>
  <c r="K24" i="32" l="1"/>
  <c r="M8" i="33" s="1"/>
  <c r="K7" i="32"/>
  <c r="O8" i="33" s="1"/>
  <c r="P89" i="1"/>
  <c r="M93" i="1"/>
  <c r="M105" i="1" s="1"/>
  <c r="P8" i="33" l="1"/>
  <c r="O7" i="33"/>
  <c r="M107" i="1"/>
  <c r="O118" i="1"/>
  <c r="P118" i="1" s="1"/>
  <c r="P117" i="1" s="1"/>
  <c r="N10" i="33"/>
  <c r="M7" i="33"/>
  <c r="M6" i="33" s="1"/>
  <c r="M10" i="33"/>
  <c r="M21" i="33" l="1"/>
  <c r="M30" i="33"/>
  <c r="M31" i="33" s="1"/>
  <c r="O21" i="33"/>
  <c r="O6" i="33"/>
  <c r="O30" i="33" s="1"/>
  <c r="O31" i="33" s="1"/>
  <c r="Q8" i="33"/>
  <c r="Q7" i="33" s="1"/>
  <c r="P7" i="33"/>
  <c r="M41" i="33" l="1"/>
  <c r="M45" i="33" s="1"/>
  <c r="M33" i="33"/>
  <c r="N33" i="33"/>
  <c r="P6" i="33"/>
  <c r="P30" i="33" s="1"/>
  <c r="P31" i="33" s="1"/>
  <c r="P21" i="33"/>
  <c r="Q6" i="33"/>
  <c r="Q30" i="33" s="1"/>
  <c r="Q31" i="33" s="1"/>
  <c r="Q21" i="33"/>
  <c r="M40" i="33" l="1"/>
  <c r="L42" i="33" l="1"/>
  <c r="N41" i="33"/>
  <c r="O41" i="33" l="1"/>
  <c r="O40" i="33" s="1"/>
  <c r="P41" i="33" l="1"/>
  <c r="N42" i="33"/>
  <c r="Q41" i="33" l="1"/>
  <c r="Q40" i="33" s="1"/>
  <c r="P42" i="33" s="1"/>
</calcChain>
</file>

<file path=xl/comments1.xml><?xml version="1.0" encoding="utf-8"?>
<comments xmlns="http://schemas.openxmlformats.org/spreadsheetml/2006/main">
  <authors>
    <author>Шумская Жанна Витальевна</author>
  </authors>
  <commentList>
    <comment ref="G82" authorId="0">
      <text>
        <r>
          <rPr>
            <b/>
            <sz val="9"/>
            <color indexed="81"/>
            <rFont val="Tahoma"/>
            <family val="2"/>
            <charset val="204"/>
          </rPr>
          <t>Шумская Жанна Витальевна:</t>
        </r>
        <r>
          <rPr>
            <sz val="9"/>
            <color indexed="81"/>
            <rFont val="Tahoma"/>
            <family val="2"/>
            <charset val="204"/>
          </rPr>
          <t xml:space="preserve">
добавлены реагенты</t>
        </r>
      </text>
    </comment>
  </commentList>
</comments>
</file>

<file path=xl/comments2.xml><?xml version="1.0" encoding="utf-8"?>
<comments xmlns="http://schemas.openxmlformats.org/spreadsheetml/2006/main">
  <authors>
    <author>Шумская Жанна Витальевна</author>
  </authors>
  <commentList>
    <comment ref="G82" authorId="0">
      <text>
        <r>
          <rPr>
            <b/>
            <sz val="9"/>
            <color indexed="81"/>
            <rFont val="Tahoma"/>
            <family val="2"/>
            <charset val="204"/>
          </rPr>
          <t>Шумская Жанна Витальевна:</t>
        </r>
        <r>
          <rPr>
            <sz val="9"/>
            <color indexed="81"/>
            <rFont val="Tahoma"/>
            <family val="2"/>
            <charset val="204"/>
          </rPr>
          <t xml:space="preserve">
добавлены реагенты</t>
        </r>
      </text>
    </comment>
  </commentList>
</comments>
</file>

<file path=xl/comments3.xml><?xml version="1.0" encoding="utf-8"?>
<comments xmlns="http://schemas.openxmlformats.org/spreadsheetml/2006/main">
  <authors>
    <author>user</author>
    <author>Шумская Жанна Витальевна</author>
  </authors>
  <commentList>
    <comment ref="M6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среднее по факту за 2013 и 2014 гг</t>
        </r>
      </text>
    </comment>
    <comment ref="G74" authorId="1">
      <text>
        <r>
          <rPr>
            <b/>
            <sz val="9"/>
            <color indexed="81"/>
            <rFont val="Tahoma"/>
            <family val="2"/>
            <charset val="204"/>
          </rPr>
          <t>Шумская Жанна Витальевна:</t>
        </r>
        <r>
          <rPr>
            <sz val="9"/>
            <color indexed="81"/>
            <rFont val="Tahoma"/>
            <family val="2"/>
            <charset val="204"/>
          </rPr>
          <t xml:space="preserve">
факт. Цена за 1 кв.2015</t>
        </r>
      </text>
    </comment>
    <comment ref="B15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аналогии с Поставщиком А</t>
        </r>
      </text>
    </comment>
    <comment ref="B15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аналогии с Поставщиком А</t>
        </r>
      </text>
    </comment>
    <comment ref="B17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аналогии с поставщиком А</t>
        </r>
      </text>
    </comment>
    <comment ref="B17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аналогии с поставщиком А</t>
        </r>
      </text>
    </comment>
    <comment ref="B19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аналогии с поставщиком А</t>
        </r>
      </text>
    </comment>
    <comment ref="B19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аналогии с поставщиком А</t>
        </r>
      </text>
    </comment>
    <comment ref="I233" authorId="1">
      <text>
        <r>
          <rPr>
            <b/>
            <sz val="9"/>
            <color indexed="81"/>
            <rFont val="Tahoma"/>
            <family val="2"/>
            <charset val="204"/>
          </rPr>
          <t>Шумская Жанна Витальевна:</t>
        </r>
        <r>
          <rPr>
            <sz val="9"/>
            <color indexed="81"/>
            <rFont val="Tahoma"/>
            <family val="2"/>
            <charset val="204"/>
          </rPr>
          <t xml:space="preserve">
с 01.07.2015 тариф 16,90
</t>
        </r>
      </text>
    </comment>
    <comment ref="B29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специальность</t>
        </r>
      </text>
    </comment>
    <comment ref="B29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специальность</t>
        </r>
      </text>
    </comment>
    <comment ref="B29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специальность</t>
        </r>
      </text>
    </comment>
    <comment ref="E313" authorId="1">
      <text>
        <r>
          <rPr>
            <b/>
            <sz val="9"/>
            <color indexed="81"/>
            <rFont val="Tahoma"/>
            <family val="2"/>
            <charset val="204"/>
          </rPr>
          <t>Шумская Жанна Витальевна:</t>
        </r>
        <r>
          <rPr>
            <sz val="9"/>
            <color indexed="81"/>
            <rFont val="Tahoma"/>
            <family val="2"/>
            <charset val="204"/>
          </rPr>
          <t xml:space="preserve">
только материалы и услуги стор. Орг. ( ЗП и ЕСН в ФОТ ремонтного персонала)</t>
        </r>
      </text>
    </comment>
    <comment ref="E321" authorId="1">
      <text>
        <r>
          <rPr>
            <b/>
            <sz val="9"/>
            <color indexed="81"/>
            <rFont val="Tahoma"/>
            <family val="2"/>
            <charset val="204"/>
          </rPr>
          <t>Шумская Жанна Витальевна:</t>
        </r>
        <r>
          <rPr>
            <sz val="9"/>
            <color indexed="81"/>
            <rFont val="Tahoma"/>
            <family val="2"/>
            <charset val="204"/>
          </rPr>
          <t xml:space="preserve">
без ЗП , отнимаем чать от 10104,1 ЗП пропорциаонально произв. работам</t>
        </r>
      </text>
    </comment>
    <comment ref="B43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транспортное средство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G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Обслуживание прогр обеспеч+отчетность по канал связи+лиценз
</t>
        </r>
      </text>
    </comment>
  </commentList>
</comments>
</file>

<file path=xl/comments5.xml><?xml version="1.0" encoding="utf-8"?>
<comments xmlns="http://schemas.openxmlformats.org/spreadsheetml/2006/main">
  <authors>
    <author>pto-01</author>
  </authors>
  <commentList>
    <comment ref="E12" authorId="0">
      <text>
        <r>
          <rPr>
            <b/>
            <sz val="10"/>
            <color indexed="81"/>
            <rFont val="Tahoma"/>
            <family val="2"/>
            <charset val="204"/>
          </rPr>
          <t>pto-01:</t>
        </r>
        <r>
          <rPr>
            <sz val="10"/>
            <color indexed="81"/>
            <rFont val="Tahoma"/>
            <family val="2"/>
            <charset val="204"/>
          </rPr>
          <t xml:space="preserve">
в т.ч. ливневка 10984,667
Реализация только абонентам 41754,662</t>
        </r>
      </text>
    </comment>
    <comment ref="G12" authorId="0">
      <text>
        <r>
          <rPr>
            <b/>
            <sz val="10"/>
            <color indexed="81"/>
            <rFont val="Tahoma"/>
            <family val="2"/>
            <charset val="204"/>
          </rPr>
          <t>pto-01:</t>
        </r>
        <r>
          <rPr>
            <sz val="10"/>
            <color indexed="81"/>
            <rFont val="Tahoma"/>
            <family val="2"/>
            <charset val="204"/>
          </rPr>
          <t xml:space="preserve">
в т.ч. ливневка 10716,948
Реализация только абонентам 38126,702</t>
        </r>
      </text>
    </comment>
    <comment ref="B14" authorId="0">
      <text>
        <r>
          <rPr>
            <b/>
            <sz val="10"/>
            <color indexed="81"/>
            <rFont val="Tahoma"/>
            <family val="2"/>
            <charset val="204"/>
          </rPr>
          <t>pto-01:</t>
        </r>
        <r>
          <rPr>
            <sz val="10"/>
            <color indexed="81"/>
            <rFont val="Tahoma"/>
            <family val="2"/>
            <charset val="204"/>
          </rPr>
          <t xml:space="preserve">
сверхлимитное потребление юрлиц</t>
        </r>
      </text>
    </comment>
    <comment ref="B29" authorId="0">
      <text>
        <r>
          <rPr>
            <b/>
            <sz val="10"/>
            <color indexed="81"/>
            <rFont val="Tahoma"/>
            <family val="2"/>
            <charset val="204"/>
          </rPr>
          <t>pto-01:</t>
        </r>
        <r>
          <rPr>
            <sz val="10"/>
            <color indexed="81"/>
            <rFont val="Tahoma"/>
            <family val="2"/>
            <charset val="204"/>
          </rPr>
          <t xml:space="preserve">
отвод стоков-реализация</t>
        </r>
      </text>
    </comment>
    <comment ref="E30" authorId="0">
      <text>
        <r>
          <rPr>
            <b/>
            <sz val="10"/>
            <color indexed="81"/>
            <rFont val="Tahoma"/>
            <family val="2"/>
            <charset val="204"/>
          </rPr>
          <t>pto-01:</t>
        </r>
        <r>
          <rPr>
            <sz val="10"/>
            <color indexed="81"/>
            <rFont val="Tahoma"/>
            <family val="2"/>
            <charset val="204"/>
          </rPr>
          <t xml:space="preserve">
внутрихозяйственный оборот в таблице Службы</t>
        </r>
      </text>
    </comment>
    <comment ref="B31" authorId="0">
      <text>
        <r>
          <rPr>
            <b/>
            <sz val="10"/>
            <color indexed="81"/>
            <rFont val="Tahoma"/>
            <family val="2"/>
            <charset val="204"/>
          </rPr>
          <t>pto-01:</t>
        </r>
        <r>
          <rPr>
            <sz val="10"/>
            <color indexed="81"/>
            <rFont val="Tahoma"/>
            <family val="2"/>
            <charset val="204"/>
          </rPr>
          <t xml:space="preserve">
неучт.приток-организованный приток
стр.1.4.2.=стр.1.4.-стр.1.4.1.</t>
        </r>
      </text>
    </comment>
    <comment ref="B35" authorId="0">
      <text>
        <r>
          <rPr>
            <b/>
            <sz val="10"/>
            <color indexed="81"/>
            <rFont val="Tahoma"/>
            <family val="2"/>
            <charset val="204"/>
          </rPr>
          <t>pto-01:</t>
        </r>
        <r>
          <rPr>
            <sz val="10"/>
            <color indexed="81"/>
            <rFont val="Tahoma"/>
            <family val="2"/>
            <charset val="204"/>
          </rPr>
          <t xml:space="preserve">
=отвод- ВХО (орг.приток)
Транспортируются все отведенные стоки, за исключением внутрихозяйственного оборота (промстоков станций)</t>
        </r>
      </text>
    </comment>
    <comment ref="B41" authorId="0">
      <text>
        <r>
          <rPr>
            <b/>
            <sz val="10"/>
            <color indexed="81"/>
            <rFont val="Tahoma"/>
            <family val="2"/>
            <charset val="204"/>
          </rPr>
          <t>pto-01:</t>
        </r>
        <r>
          <rPr>
            <sz val="10"/>
            <color indexed="81"/>
            <rFont val="Tahoma"/>
            <family val="2"/>
            <charset val="204"/>
          </rPr>
          <t xml:space="preserve">
"пропущено через очистные сооружения"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I7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транспортное средство</t>
        </r>
      </text>
    </comment>
  </commentList>
</comments>
</file>

<file path=xl/comments7.xml><?xml version="1.0" encoding="utf-8"?>
<comments xmlns="http://schemas.openxmlformats.org/spreadsheetml/2006/main">
  <authors>
    <author>user</author>
    <author>Шумская Жанна Витальевна</author>
  </authors>
  <commentList>
    <comment ref="B12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аналогии с Поставщиком А</t>
        </r>
      </text>
    </comment>
    <comment ref="B12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аналогии с Поставщиком А</t>
        </r>
      </text>
    </comment>
    <comment ref="B17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аналогии с Поставщиком А</t>
        </r>
      </text>
    </comment>
    <comment ref="B17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аналогии с Поставщиком А</t>
        </r>
      </text>
    </comment>
    <comment ref="B19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аналогии с поставщиком А</t>
        </r>
      </text>
    </comment>
    <comment ref="B19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аналогии с поставщиком А</t>
        </r>
      </text>
    </comment>
    <comment ref="B21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аналогии с поставщиком А</t>
        </r>
      </text>
    </comment>
    <comment ref="B21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аналогии с поставщиком А</t>
        </r>
      </text>
    </comment>
    <comment ref="B32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специальность</t>
        </r>
      </text>
    </comment>
    <comment ref="B33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специальность</t>
        </r>
      </text>
    </comment>
    <comment ref="B33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специальность</t>
        </r>
      </text>
    </comment>
    <comment ref="E343" authorId="1">
      <text>
        <r>
          <rPr>
            <b/>
            <sz val="9"/>
            <color indexed="81"/>
            <rFont val="Tahoma"/>
            <family val="2"/>
            <charset val="204"/>
          </rPr>
          <t>Шумская Жанна Витальевна:</t>
        </r>
        <r>
          <rPr>
            <sz val="9"/>
            <color indexed="81"/>
            <rFont val="Tahoma"/>
            <family val="2"/>
            <charset val="204"/>
          </rPr>
          <t xml:space="preserve">
только материалы без ЗП и ЕСН + услуги стор. Орг.
</t>
        </r>
      </text>
    </comment>
    <comment ref="E351" authorId="1">
      <text>
        <r>
          <rPr>
            <b/>
            <sz val="9"/>
            <color indexed="81"/>
            <rFont val="Tahoma"/>
            <family val="2"/>
            <charset val="204"/>
          </rPr>
          <t>Шумская Жанна Витальевна:</t>
        </r>
        <r>
          <rPr>
            <sz val="9"/>
            <color indexed="81"/>
            <rFont val="Tahoma"/>
            <family val="2"/>
            <charset val="204"/>
          </rPr>
          <t xml:space="preserve">
10104,1 ФЗП плюс ЕСН по кап. Ремонту, вычитаем пропорционально объему затрат
</t>
        </r>
      </text>
    </comment>
    <comment ref="J351" authorId="1">
      <text>
        <r>
          <rPr>
            <b/>
            <sz val="9"/>
            <color indexed="81"/>
            <rFont val="Tahoma"/>
            <family val="2"/>
            <charset val="204"/>
          </rPr>
          <t>Шумская Жанна Витальевна:</t>
        </r>
        <r>
          <rPr>
            <sz val="9"/>
            <color indexed="81"/>
            <rFont val="Tahoma"/>
            <family val="2"/>
            <charset val="204"/>
          </rPr>
          <t xml:space="preserve">
Затраты без ЗП
</t>
        </r>
      </text>
    </comment>
    <comment ref="B46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транспортное средство</t>
        </r>
      </text>
    </comment>
  </commentList>
</comments>
</file>

<file path=xl/sharedStrings.xml><?xml version="1.0" encoding="utf-8"?>
<sst xmlns="http://schemas.openxmlformats.org/spreadsheetml/2006/main" count="8158" uniqueCount="1842">
  <si>
    <t>№ п/п</t>
  </si>
  <si>
    <t>Наименование</t>
  </si>
  <si>
    <t>Единица измерений</t>
  </si>
  <si>
    <t>Истекший год (i-1)</t>
  </si>
  <si>
    <t>Текущий год (i-2)</t>
  </si>
  <si>
    <t>план</t>
  </si>
  <si>
    <t>факт</t>
  </si>
  <si>
    <t xml:space="preserve">план </t>
  </si>
  <si>
    <t>ожид.</t>
  </si>
  <si>
    <t>Производственные расходы</t>
  </si>
  <si>
    <t>1.1</t>
  </si>
  <si>
    <t>тыс.руб.</t>
  </si>
  <si>
    <t>1.1.1</t>
  </si>
  <si>
    <t>Реагенты</t>
  </si>
  <si>
    <t>1.1.2</t>
  </si>
  <si>
    <t>Горюче-смазочные материалы</t>
  </si>
  <si>
    <t>1.1.3</t>
  </si>
  <si>
    <t>Материалы и малоценные основные средства</t>
  </si>
  <si>
    <t>1.2</t>
  </si>
  <si>
    <t>Расходы на энергетические ресурсы и холодную воду</t>
  </si>
  <si>
    <t>1.2.1</t>
  </si>
  <si>
    <t>Электроэнергия</t>
  </si>
  <si>
    <t>Теплоэнергия</t>
  </si>
  <si>
    <t>1.2.3</t>
  </si>
  <si>
    <t>1.2.2</t>
  </si>
  <si>
    <t>Теплоноситель</t>
  </si>
  <si>
    <t>1.2.4</t>
  </si>
  <si>
    <t>1.2.5</t>
  </si>
  <si>
    <t>Топливо</t>
  </si>
  <si>
    <t>Холодная вода</t>
  </si>
  <si>
    <t>1.3</t>
  </si>
  <si>
    <t>Расходы на оплату работ и услуг, выполняемых сторонними организациями и индивидуальными предпринимателями, связанные с эксплуатацией централизованных систем, либо объектов в составе таких систем</t>
  </si>
  <si>
    <t>тыс. руб.</t>
  </si>
  <si>
    <t>1.4.</t>
  </si>
  <si>
    <t>Расходы на оплату труда и отчисления на социальные нужды основного производственного персонала, в том числе налоги и сборы</t>
  </si>
  <si>
    <t>1.4.1</t>
  </si>
  <si>
    <t>Расходы на оплату труда производственного персонала</t>
  </si>
  <si>
    <t>1.4.2</t>
  </si>
  <si>
    <t>Отчисления на социальные нужды производственного персонала, втом числе налоги и сборы</t>
  </si>
  <si>
    <t>Расходы на уплату процентов по займам и кредитам</t>
  </si>
  <si>
    <t>1.5</t>
  </si>
  <si>
    <t>1.6</t>
  </si>
  <si>
    <t>1.7</t>
  </si>
  <si>
    <t>Прочие производственные расходы</t>
  </si>
  <si>
    <t>1.7.1</t>
  </si>
  <si>
    <t>1.7.2</t>
  </si>
  <si>
    <t>Расходы на амортизацию автотранспорта</t>
  </si>
  <si>
    <t>1.7.3</t>
  </si>
  <si>
    <t>1.7.4</t>
  </si>
  <si>
    <t>Расходы на аварийно-диспетчерское обслуживание</t>
  </si>
  <si>
    <t>2</t>
  </si>
  <si>
    <t>Ремонтные расходы</t>
  </si>
  <si>
    <t>2.1</t>
  </si>
  <si>
    <t>Расходы на текущий ремонт централизированных систем водоснабжения и (или) водоотведения либо объектов, входящих в состав таких систем</t>
  </si>
  <si>
    <t>2.2</t>
  </si>
  <si>
    <t>Расходы на капитальный ремонт централизованных систем водоснабжения и (или) водоотведения либо объектов, входящих в состав таких систем</t>
  </si>
  <si>
    <t>2.3</t>
  </si>
  <si>
    <t>Расходы на оплату труда и отчисления на социальные нужды ремонтного  персонала, в том числе налоги и сборы</t>
  </si>
  <si>
    <t>2.3.1</t>
  </si>
  <si>
    <t>Расходы на оплату труда ремонтного персонала</t>
  </si>
  <si>
    <t>2.3.2</t>
  </si>
  <si>
    <t>Отчисления на социальные нужды ремонтного персонала, в том числе налоги и сборы</t>
  </si>
  <si>
    <t>3</t>
  </si>
  <si>
    <t>Административные расходы</t>
  </si>
  <si>
    <t>3.1</t>
  </si>
  <si>
    <t>Расходы на оплату работ и услуг, выполняемых сторонними организациями</t>
  </si>
  <si>
    <t>3.1.1</t>
  </si>
  <si>
    <t>Услуги связи и интернет</t>
  </si>
  <si>
    <t>3.1.2</t>
  </si>
  <si>
    <t>Юридические услуги</t>
  </si>
  <si>
    <t>3.1.3</t>
  </si>
  <si>
    <t>Аудиторские услуги</t>
  </si>
  <si>
    <t>3.1.4</t>
  </si>
  <si>
    <t>Консультационные услуги</t>
  </si>
  <si>
    <t>3.1.5</t>
  </si>
  <si>
    <t>Услуги по вневедомственной охране объектов и территорий</t>
  </si>
  <si>
    <t>3.1.6</t>
  </si>
  <si>
    <t>Информационные услуги</t>
  </si>
  <si>
    <t>3.1.7</t>
  </si>
  <si>
    <t>Управленческие услуги</t>
  </si>
  <si>
    <t>3.2</t>
  </si>
  <si>
    <t>Расходы на оплату труда и отчисления на социальные нужды административно-уравленческого персонала, в том числе налоги и сборы</t>
  </si>
  <si>
    <t>3.2.1</t>
  </si>
  <si>
    <t>Расходы на оплату труда административно-управленческого персонала</t>
  </si>
  <si>
    <t>Отчисления на социальные нужды административно-управленческого персонала, в том числе налоги и сборы</t>
  </si>
  <si>
    <t>3.2.2</t>
  </si>
  <si>
    <t>3.3</t>
  </si>
  <si>
    <t>Арендная плата, лизинговые платежи, не связанные с арендой (лизингом) централизованных систем водоснабжения и (или) водоотведения либо объектов, входящих в состав таких систем</t>
  </si>
  <si>
    <t>3.4</t>
  </si>
  <si>
    <t>Служебные командировки</t>
  </si>
  <si>
    <t>3.5</t>
  </si>
  <si>
    <t>Обучение персонала</t>
  </si>
  <si>
    <t>3.6</t>
  </si>
  <si>
    <t>Страхование производственных объектов</t>
  </si>
  <si>
    <t>3.7</t>
  </si>
  <si>
    <t>Прочие административные расходы</t>
  </si>
  <si>
    <t>3.7.1</t>
  </si>
  <si>
    <t>3.7.2</t>
  </si>
  <si>
    <t>Расходы по охране объектов и территорий</t>
  </si>
  <si>
    <t>4</t>
  </si>
  <si>
    <t>Сбытовые расходы гарантирующих организаций</t>
  </si>
  <si>
    <t>4.1</t>
  </si>
  <si>
    <t>Расходы по сомнительным долгам, в размере не более 2% НВВ</t>
  </si>
  <si>
    <t>5.</t>
  </si>
  <si>
    <t>Амортизация</t>
  </si>
  <si>
    <t>5.1</t>
  </si>
  <si>
    <t>6.</t>
  </si>
  <si>
    <t>Расходы на арендную плату, лизинговые платежи, концессионную плату</t>
  </si>
  <si>
    <t>6.1</t>
  </si>
  <si>
    <t>Аренда имущества</t>
  </si>
  <si>
    <t>6.2</t>
  </si>
  <si>
    <t>Концессионная плата</t>
  </si>
  <si>
    <t>6.3</t>
  </si>
  <si>
    <t>Лизинговые платежи</t>
  </si>
  <si>
    <t>6.4</t>
  </si>
  <si>
    <t>Аренда земельных участков</t>
  </si>
  <si>
    <t>7.</t>
  </si>
  <si>
    <t>Расходы связанные с уплатой налогов и сборов</t>
  </si>
  <si>
    <t>7.2</t>
  </si>
  <si>
    <t>Налог на имущество организаций</t>
  </si>
  <si>
    <t>7.3</t>
  </si>
  <si>
    <t>Плата за негативное воздействие на окружающую среду</t>
  </si>
  <si>
    <t>7.4</t>
  </si>
  <si>
    <t>Водный налог и плата за пользованием водными объектами</t>
  </si>
  <si>
    <t>7.5</t>
  </si>
  <si>
    <t>Земельный налог</t>
  </si>
  <si>
    <t>7.6</t>
  </si>
  <si>
    <t>Транспортный налог</t>
  </si>
  <si>
    <t>7.7</t>
  </si>
  <si>
    <t>Прочие налоги и сборы, за исключением налогов и сборов с фонда оплаты труда, учитываемые в составе производственных, ремонтных и административных расходов</t>
  </si>
  <si>
    <t>8</t>
  </si>
  <si>
    <t>Нормативная прибыль</t>
  </si>
  <si>
    <t>8.1</t>
  </si>
  <si>
    <t>Средства на возврат займов и кредитов и процентов по ним</t>
  </si>
  <si>
    <t>8.2</t>
  </si>
  <si>
    <t>8.3</t>
  </si>
  <si>
    <t>Расходы на капитальные вложения</t>
  </si>
  <si>
    <t>Расходы на социальные нужды, предусмотренные коллективными договорами, в соответствии с подпунктом 3 пункта 30 Методических указаний</t>
  </si>
  <si>
    <t>8.4</t>
  </si>
  <si>
    <t>8.5</t>
  </si>
  <si>
    <t>Величина нормативной прибыли, определенная в соответствии с пунктом 31 настоящих Методических указаний</t>
  </si>
  <si>
    <t>9.</t>
  </si>
  <si>
    <t>Итого НВВ</t>
  </si>
  <si>
    <t>руб./куб.м</t>
  </si>
  <si>
    <t>Расходы на приобретение сырья и материалов и их хранение,    в том числе:</t>
  </si>
  <si>
    <t>Другие расходы, не учитываемые в соответствии с Налоговым кодексом Российской Федерации при определении налоговой базы налога на прибыль</t>
  </si>
  <si>
    <t>тыс.куб.м</t>
  </si>
  <si>
    <t>1.</t>
  </si>
  <si>
    <t>2.</t>
  </si>
  <si>
    <t>Расход (ед.изм)</t>
  </si>
  <si>
    <t>1.1.2.</t>
  </si>
  <si>
    <t>Цена за тонну</t>
  </si>
  <si>
    <t>т.</t>
  </si>
  <si>
    <t>Суммарные затарты</t>
  </si>
  <si>
    <t>1.1.3.</t>
  </si>
  <si>
    <t>1.2.2.</t>
  </si>
  <si>
    <t>1.2.3.</t>
  </si>
  <si>
    <t>Итого</t>
  </si>
  <si>
    <t>Расходы на ГСМ, превышающие 5% общей величины расходов на сырье и материалы</t>
  </si>
  <si>
    <t>2.1.</t>
  </si>
  <si>
    <t>Цена за единицу</t>
  </si>
  <si>
    <t>3.</t>
  </si>
  <si>
    <t>Расходы на материалы и малоценные основные средства, превышающие 5% общей величины расходов на сырье и материалы</t>
  </si>
  <si>
    <t>4.</t>
  </si>
  <si>
    <t>тыс. руб</t>
  </si>
  <si>
    <t>данные ОКК</t>
  </si>
  <si>
    <t>СГРЦиТ</t>
  </si>
  <si>
    <t>Проект 2015 год</t>
  </si>
  <si>
    <t>Приложение 2.1.1</t>
  </si>
  <si>
    <t>к Методическим указаниям</t>
  </si>
  <si>
    <t>от 27.12.3013 № 1746-э</t>
  </si>
  <si>
    <t>Приложение 2.1.2</t>
  </si>
  <si>
    <t>А</t>
  </si>
  <si>
    <t>Поставщик</t>
  </si>
  <si>
    <t>1</t>
  </si>
  <si>
    <t>Объем покупной энергии</t>
  </si>
  <si>
    <t>Объем покупной энергии по одноставочному тарифу</t>
  </si>
  <si>
    <t>низкое напряжение</t>
  </si>
  <si>
    <t>млн кВт-ч</t>
  </si>
  <si>
    <t>среднее напряжение 1</t>
  </si>
  <si>
    <t>среднее напряжение 2</t>
  </si>
  <si>
    <t>1.1.4</t>
  </si>
  <si>
    <t>высокое напряжение</t>
  </si>
  <si>
    <t>Объем покупной электроэнергии по двухставочному тарифу</t>
  </si>
  <si>
    <t>Мощность</t>
  </si>
  <si>
    <t>1.2.1.1</t>
  </si>
  <si>
    <t>1.2.1.2</t>
  </si>
  <si>
    <t>1.2.1.3</t>
  </si>
  <si>
    <t>генерация напряжения</t>
  </si>
  <si>
    <t>МВт в мес.</t>
  </si>
  <si>
    <t>Активная электроэнергия</t>
  </si>
  <si>
    <t>1.2.2.1</t>
  </si>
  <si>
    <t>1.2.2.2</t>
  </si>
  <si>
    <t>1.2.2.3</t>
  </si>
  <si>
    <t>1.2.2.4</t>
  </si>
  <si>
    <t>1.2.2.5</t>
  </si>
  <si>
    <t>Тариф на электроэнергию и мощность</t>
  </si>
  <si>
    <t>2.1.1</t>
  </si>
  <si>
    <t>руб./кВт-ч</t>
  </si>
  <si>
    <t>2.1.2</t>
  </si>
  <si>
    <t>2.1.3</t>
  </si>
  <si>
    <t>2.1.4</t>
  </si>
  <si>
    <t>2.1.5</t>
  </si>
  <si>
    <t>2.1.6</t>
  </si>
  <si>
    <t>Средний одноставочный тариф на электрическую энергию</t>
  </si>
  <si>
    <t>по двухставочному тарифу</t>
  </si>
  <si>
    <t>2.2.1</t>
  </si>
  <si>
    <t>ставка за мощность</t>
  </si>
  <si>
    <t>руб./кВт-ч в мес.</t>
  </si>
  <si>
    <t>2.2.1.1</t>
  </si>
  <si>
    <t>2.2.1.2</t>
  </si>
  <si>
    <t>2.2.1.3</t>
  </si>
  <si>
    <t>2.2.1.4</t>
  </si>
  <si>
    <t>2.2.1.5</t>
  </si>
  <si>
    <t>2.2.2</t>
  </si>
  <si>
    <t>Тариф на электроэнергию по двухставочному тарифу</t>
  </si>
  <si>
    <t>2.2.2.1</t>
  </si>
  <si>
    <t>2.2.2.2</t>
  </si>
  <si>
    <t>2.2.2.3</t>
  </si>
  <si>
    <t>2.2.2.4</t>
  </si>
  <si>
    <t>2.2.2.5</t>
  </si>
  <si>
    <t>5</t>
  </si>
  <si>
    <t>Затраты на покупку энергии</t>
  </si>
  <si>
    <t>Затраты на покупку мощности</t>
  </si>
  <si>
    <t>Затраты на электроэнергию всего</t>
  </si>
  <si>
    <t>B</t>
  </si>
  <si>
    <t>N</t>
  </si>
  <si>
    <t>Тариф на активную электроэнергию без разбивки по напряжению</t>
  </si>
  <si>
    <t>1.2.1.4</t>
  </si>
  <si>
    <t>1.2.1.5</t>
  </si>
  <si>
    <t>Приложение 2.1.3</t>
  </si>
  <si>
    <t>тыс.Гкал</t>
  </si>
  <si>
    <t>Гкал/ч</t>
  </si>
  <si>
    <t>Ставка за энергию</t>
  </si>
  <si>
    <t>руб./Гкал</t>
  </si>
  <si>
    <t>Ставка за мощность</t>
  </si>
  <si>
    <t>тыс.                  руб./Гкал/ч</t>
  </si>
  <si>
    <t>Затраты на теплоэнергию, всего</t>
  </si>
  <si>
    <t>Приложение 2.1.4</t>
  </si>
  <si>
    <t>Объем теплоносителя</t>
  </si>
  <si>
    <t>Цена теплоносителя</t>
  </si>
  <si>
    <t>Затраты на теплоноситель</t>
  </si>
  <si>
    <t>Приложение 2.1.5</t>
  </si>
  <si>
    <t>Уголь</t>
  </si>
  <si>
    <t>Количество (объем) топлива</t>
  </si>
  <si>
    <t>Цена топлива</t>
  </si>
  <si>
    <t>Затраты на топливо</t>
  </si>
  <si>
    <t>Газ</t>
  </si>
  <si>
    <t>Приложение 2.1.6</t>
  </si>
  <si>
    <t>объем холодной воды</t>
  </si>
  <si>
    <t>Тариф на холодную воду</t>
  </si>
  <si>
    <t>Затраты на холодную воду</t>
  </si>
  <si>
    <t>В</t>
  </si>
  <si>
    <t>Первоначальная (восстановительная) стоимость на начало периода</t>
  </si>
  <si>
    <t>Здания</t>
  </si>
  <si>
    <t>1.4</t>
  </si>
  <si>
    <t>Сооружения и передаточные устройства</t>
  </si>
  <si>
    <t>Машины и оборудование</t>
  </si>
  <si>
    <t>Транспорт</t>
  </si>
  <si>
    <t>Прочее</t>
  </si>
  <si>
    <t>Ввод основных фондов</t>
  </si>
  <si>
    <t>2.4</t>
  </si>
  <si>
    <t>2.5</t>
  </si>
  <si>
    <t>Выбытие основных фондов</t>
  </si>
  <si>
    <t>Первоначальная (восстановительная) стоимость на конец периода</t>
  </si>
  <si>
    <t>4.2</t>
  </si>
  <si>
    <t>4.3</t>
  </si>
  <si>
    <t>4.4</t>
  </si>
  <si>
    <t>4.5</t>
  </si>
  <si>
    <t>Среднегодовая стоимость</t>
  </si>
  <si>
    <t>5.2</t>
  </si>
  <si>
    <t>5.3</t>
  </si>
  <si>
    <t>5.4</t>
  </si>
  <si>
    <t>5.5</t>
  </si>
  <si>
    <t>Средняя норма амортизационных отчислений</t>
  </si>
  <si>
    <t>6.5</t>
  </si>
  <si>
    <t>7</t>
  </si>
  <si>
    <t>Сумма амортизационных отчислений</t>
  </si>
  <si>
    <t>7.1</t>
  </si>
  <si>
    <t>Переоценка на 31.12.ХХ</t>
  </si>
  <si>
    <t>%</t>
  </si>
  <si>
    <t>Транспортирование воды</t>
  </si>
  <si>
    <t>Тариф на транспортирование воды</t>
  </si>
  <si>
    <t>Очистка воды</t>
  </si>
  <si>
    <t>Тариф на очистку воды</t>
  </si>
  <si>
    <t>Затраты на транспортирование воды</t>
  </si>
  <si>
    <t>Затраты на очистку воды</t>
  </si>
  <si>
    <t>A</t>
  </si>
  <si>
    <t>Численность персонала</t>
  </si>
  <si>
    <t>ед.</t>
  </si>
  <si>
    <t>Средняя заработная плата</t>
  </si>
  <si>
    <t>руб.</t>
  </si>
  <si>
    <t>2.6</t>
  </si>
  <si>
    <t>Расходы на текущий ремонт централизированных систем водоснабжения и (или) водоотведения либо объектов, входящих в состав таких систем:</t>
  </si>
  <si>
    <t>утвержденным приказом ФСТ России</t>
  </si>
  <si>
    <t>Приложение 2.3</t>
  </si>
  <si>
    <t>Приложение 2.4</t>
  </si>
  <si>
    <t>Источники финансирования капитальных вложений</t>
  </si>
  <si>
    <t>Объем капитальных вложений</t>
  </si>
  <si>
    <t>на забор и подъем воды</t>
  </si>
  <si>
    <t>на водоподготовку</t>
  </si>
  <si>
    <t>на транспортировку воды</t>
  </si>
  <si>
    <t>на транспортировку сточных вод</t>
  </si>
  <si>
    <t>на очистку сточных вод</t>
  </si>
  <si>
    <t>нв обращение с осадком сточных вод</t>
  </si>
  <si>
    <t>прочее</t>
  </si>
  <si>
    <t>Финансирование капитальных вложений</t>
  </si>
  <si>
    <t>переоценка основных средств</t>
  </si>
  <si>
    <t>Прибыль</t>
  </si>
  <si>
    <t>дополнительные доходы</t>
  </si>
  <si>
    <t>Займы и кредиты</t>
  </si>
  <si>
    <t>Бюджетные средства</t>
  </si>
  <si>
    <t>2.4.1</t>
  </si>
  <si>
    <t>Федерального бюджета</t>
  </si>
  <si>
    <t>2.4.2</t>
  </si>
  <si>
    <t>Регионального бюджета</t>
  </si>
  <si>
    <t>2.4.3</t>
  </si>
  <si>
    <t>Местного бюджета</t>
  </si>
  <si>
    <t>Плата за подключение</t>
  </si>
  <si>
    <t>Учтено при установлении тарифов</t>
  </si>
  <si>
    <t>Введено в эксплуатация</t>
  </si>
  <si>
    <t>4-й год</t>
  </si>
  <si>
    <t>5-й год</t>
  </si>
  <si>
    <t>Индекс потребительских цен</t>
  </si>
  <si>
    <t>Индекс роста номинальной заработной платы</t>
  </si>
  <si>
    <t>Цена электрической энергии</t>
  </si>
  <si>
    <t>одноставочный тариф</t>
  </si>
  <si>
    <t>3.1.1.1</t>
  </si>
  <si>
    <t>руб./тыс.кВт-ч</t>
  </si>
  <si>
    <t>3.1.1.2</t>
  </si>
  <si>
    <t>1 среднее напряжение</t>
  </si>
  <si>
    <t>3.1.1.3</t>
  </si>
  <si>
    <t>3.1.1.4</t>
  </si>
  <si>
    <t>3.1.1.5</t>
  </si>
  <si>
    <t>3.1.2.2</t>
  </si>
  <si>
    <t>3.1.2.1</t>
  </si>
  <si>
    <t>2 среднее напряжение</t>
  </si>
  <si>
    <t>без разбивки по напряжению</t>
  </si>
  <si>
    <t>Двухставочный тариф</t>
  </si>
  <si>
    <t>Тариф на активную электроэнергию при двухставочном тарифе</t>
  </si>
  <si>
    <t xml:space="preserve"> среднее напряжение 1</t>
  </si>
  <si>
    <t xml:space="preserve"> среднее напряжение 2</t>
  </si>
  <si>
    <t>3.1.2.1.1</t>
  </si>
  <si>
    <t>3.1.2.1.2</t>
  </si>
  <si>
    <t>3.1.2.1.3</t>
  </si>
  <si>
    <t>3.1.2.1.4</t>
  </si>
  <si>
    <t>3.1.2.1.5</t>
  </si>
  <si>
    <t>Цена за мощность</t>
  </si>
  <si>
    <t>3.1.2.2.1</t>
  </si>
  <si>
    <t>3.1.2.2.2</t>
  </si>
  <si>
    <t>3.1.2.2.3</t>
  </si>
  <si>
    <t>3.1.2.2.4</t>
  </si>
  <si>
    <t>3.1.2.2.5</t>
  </si>
  <si>
    <t>Индекс цен на покупную воду</t>
  </si>
  <si>
    <t>Питьевую воду</t>
  </si>
  <si>
    <t>Техническую воду</t>
  </si>
  <si>
    <t>Горячую воду</t>
  </si>
  <si>
    <t>Индекс цен на тепловую тепловую энергию</t>
  </si>
  <si>
    <t>Цена тепловой энергии</t>
  </si>
  <si>
    <t>6</t>
  </si>
  <si>
    <t>Индекс цен на тепловую мощность</t>
  </si>
  <si>
    <t>Цена тепловой мощности</t>
  </si>
  <si>
    <t>Индекс цен на теплоноситель</t>
  </si>
  <si>
    <t>Цена на теплоноситель</t>
  </si>
  <si>
    <t>Индекс цен на топливо</t>
  </si>
  <si>
    <t>вид топлива</t>
  </si>
  <si>
    <t>8.n</t>
  </si>
  <si>
    <t>вид топлива n</t>
  </si>
  <si>
    <t>9</t>
  </si>
  <si>
    <t>Распределение пропорционально ОПЛАТЕ ТРУДА</t>
  </si>
  <si>
    <t>Водоотведение</t>
  </si>
  <si>
    <t>Распределение пропорционально ПРЯМЫМ РАСХОДАМ</t>
  </si>
  <si>
    <t>ЕСЛИ</t>
  </si>
  <si>
    <t>прямые для цеховых и косвенных расходов</t>
  </si>
  <si>
    <t>СМЕТА РАСХОДОВ НА ПИТЬЕВУЮ ВОДУ, ТЕХНИЧЕСКУЮ ВОДУ, ТРАНСПОРТИРОВКУ ХОЛОДНОЙ ВОДЫ</t>
  </si>
  <si>
    <t>Метод регулирования тарифов -</t>
  </si>
  <si>
    <t>Страховые взносы</t>
  </si>
  <si>
    <t>9.1</t>
  </si>
  <si>
    <t>Экономически обоснованные расходы, не учтенные органом регулирования тарифов при установлении тарифов на товары (работы, услуги) в прошлом периоде</t>
  </si>
  <si>
    <t>9.2</t>
  </si>
  <si>
    <t>Недополученные доходы прошлых периодов регулирования</t>
  </si>
  <si>
    <t>9.3</t>
  </si>
  <si>
    <t>Расходы связанные с обслуживанием заемных средств и собственных средств, направляемых на покрытие недостатка средств</t>
  </si>
  <si>
    <t>тыс.руб</t>
  </si>
  <si>
    <t>в пределах установленного лимита</t>
  </si>
  <si>
    <t>сверх установленного лимитп</t>
  </si>
  <si>
    <t>Недополученные доходы расходы прошлых периодов</t>
  </si>
  <si>
    <t>Объем водоснабжения</t>
  </si>
  <si>
    <t>млн.куб.м</t>
  </si>
  <si>
    <t>Темп роста тарифа</t>
  </si>
  <si>
    <t>Расходы на амортизацию непроизводственных активов</t>
  </si>
  <si>
    <t>Цеховые расходы</t>
  </si>
  <si>
    <t>Проект  2016 год</t>
  </si>
  <si>
    <t>Проект  2017 год</t>
  </si>
  <si>
    <t>Проект 2016 год</t>
  </si>
  <si>
    <t>Проект 2017 год</t>
  </si>
  <si>
    <t>1.3.1</t>
  </si>
  <si>
    <t>1.3.2</t>
  </si>
  <si>
    <t>1.5.1</t>
  </si>
  <si>
    <t>1.5.2</t>
  </si>
  <si>
    <t>1.5.3</t>
  </si>
  <si>
    <t>1.5.4</t>
  </si>
  <si>
    <t>Приложение 2.2.</t>
  </si>
  <si>
    <t>утвержденныи приказом ФСТ России</t>
  </si>
  <si>
    <t>Расходы на оплату труда в целом по регулируемым видам деятельности</t>
  </si>
  <si>
    <t>Производственный персонал</t>
  </si>
  <si>
    <t>Численность (среднесписочная), принятая для расчета</t>
  </si>
  <si>
    <t>чел.</t>
  </si>
  <si>
    <t>Средняя оплата труда</t>
  </si>
  <si>
    <t>Тарифная ставка рабочего 1 разряда</t>
  </si>
  <si>
    <t>2.2.</t>
  </si>
  <si>
    <t>2.3.</t>
  </si>
  <si>
    <t>Тарифная ставка рабочего 1 разряда с учетом дефлятора</t>
  </si>
  <si>
    <t>2.4.</t>
  </si>
  <si>
    <t>Средний тарифный коэффициент</t>
  </si>
  <si>
    <t>2.5.</t>
  </si>
  <si>
    <t>Среднемесячная тарифная ставка</t>
  </si>
  <si>
    <t>2.6.</t>
  </si>
  <si>
    <t>Минмальный размер оплаты труда по отраслевому тарифному соглашению</t>
  </si>
  <si>
    <t>2.7.</t>
  </si>
  <si>
    <t>Выплаты, связанные с режимом и условиями труда на 1 работника в мес.</t>
  </si>
  <si>
    <t>2.7.2.</t>
  </si>
  <si>
    <t>Процент</t>
  </si>
  <si>
    <t>2.7.1.</t>
  </si>
  <si>
    <t>Сумма выплат</t>
  </si>
  <si>
    <t xml:space="preserve">2.8. </t>
  </si>
  <si>
    <t>Текущее премирование</t>
  </si>
  <si>
    <t>2.8.1.</t>
  </si>
  <si>
    <t>2.8.2.</t>
  </si>
  <si>
    <t>2.9.</t>
  </si>
  <si>
    <t>Доп. премирование, включая вознаграждение за выслугу лет</t>
  </si>
  <si>
    <t>2.9.1.</t>
  </si>
  <si>
    <t>2.9.2.</t>
  </si>
  <si>
    <t>2.9.3.</t>
  </si>
  <si>
    <t>2.9.4.</t>
  </si>
  <si>
    <t>Северные надбавки</t>
  </si>
  <si>
    <t>2.10.</t>
  </si>
  <si>
    <t>Итого среднемесячная оплата труда на 1 работника</t>
  </si>
  <si>
    <t>2.11</t>
  </si>
  <si>
    <t>Фонд оплаты труда</t>
  </si>
  <si>
    <t>Расчет средств на оплату труда</t>
  </si>
  <si>
    <t>3.1.</t>
  </si>
  <si>
    <t>Льготный проезд к месту отдыха</t>
  </si>
  <si>
    <t>3.2.</t>
  </si>
  <si>
    <t>По постановлению Правительства РФ от 03.11.94г. №1206</t>
  </si>
  <si>
    <t>3.3.</t>
  </si>
  <si>
    <t>Компенсационные и социальные выплаты</t>
  </si>
  <si>
    <t>3.4.</t>
  </si>
  <si>
    <t>Итого средств на оплату труда</t>
  </si>
  <si>
    <t>3.5.</t>
  </si>
  <si>
    <t>Ремонтный персонал</t>
  </si>
  <si>
    <t>Административный персонал</t>
  </si>
  <si>
    <t>Расходы на оплату труда в разрезе регулируемых видов деятельности</t>
  </si>
  <si>
    <t>2014 год</t>
  </si>
  <si>
    <t>1.1.</t>
  </si>
  <si>
    <t>Водоснабжение</t>
  </si>
  <si>
    <t>1.1.1.</t>
  </si>
  <si>
    <t xml:space="preserve">Численность персонала </t>
  </si>
  <si>
    <t>Итого ФОТ</t>
  </si>
  <si>
    <t>Сумма отчислений</t>
  </si>
  <si>
    <t>численность персонала</t>
  </si>
  <si>
    <t>1.2.</t>
  </si>
  <si>
    <t>1.2.1.</t>
  </si>
  <si>
    <t>2.1.1.</t>
  </si>
  <si>
    <t>слесарь</t>
  </si>
  <si>
    <t>2.1.2.</t>
  </si>
  <si>
    <t>2.1.3.</t>
  </si>
  <si>
    <t>Итого ФОТ ремонтного персонала</t>
  </si>
  <si>
    <t>2.2.1.</t>
  </si>
  <si>
    <t>2.2.2.</t>
  </si>
  <si>
    <t>2.2.3.</t>
  </si>
  <si>
    <t>Приложение 2.2.1.</t>
  </si>
  <si>
    <t>1.8</t>
  </si>
  <si>
    <t>2,1.1</t>
  </si>
  <si>
    <t>ед. изм.</t>
  </si>
  <si>
    <t>Показатели 2015 год</t>
  </si>
  <si>
    <t>Обоснование</t>
  </si>
  <si>
    <t>Показатели 2016 год</t>
  </si>
  <si>
    <t>Показатели 2017 год</t>
  </si>
  <si>
    <t>ОКК</t>
  </si>
  <si>
    <t>Объем реализации воды</t>
  </si>
  <si>
    <t>млн.м3</t>
  </si>
  <si>
    <t>Организация не заявилась на установление тарифа. Рассмотрение по инициативе регулятора. Объм реализации воды на уровне 2014 года.</t>
  </si>
  <si>
    <t>1. Производственные расходы</t>
  </si>
  <si>
    <t>Расходы на приобретение сырья и материалов и их хранение.</t>
  </si>
  <si>
    <t>Затраты на реагенты. Применен ИПЦ 4,6 %</t>
  </si>
  <si>
    <t>Затраты на реагенты. Применен ИПЦ 4,5 %</t>
  </si>
  <si>
    <t>Затраты на реагенты. Применен ИПЦ 4,3 %</t>
  </si>
  <si>
    <t>Затраты на электрознергию, применен индекс 8,4%</t>
  </si>
  <si>
    <t xml:space="preserve"> затраты отсутствуют</t>
  </si>
  <si>
    <t>затраты отсутствуют</t>
  </si>
  <si>
    <t>Применен индекс роста номинальной заработной платы 5%</t>
  </si>
  <si>
    <t>Применен индекс роста номинальной заработной платы 4,5%</t>
  </si>
  <si>
    <t>Применен индекс роста номинальной заработной платы 4,3%</t>
  </si>
  <si>
    <t>Затраты на лабораторные анализы. Применен ИПЦ 4,6%</t>
  </si>
  <si>
    <t>Затраты на лабораторные анализы. Применен ИПЦ 4,5%</t>
  </si>
  <si>
    <t>Затраты на лабораторные анализы. Применен ИПЦ 4,3%</t>
  </si>
  <si>
    <t>2. Ремонтные расходы</t>
  </si>
  <si>
    <t>Применен ИПЦ 4,6%</t>
  </si>
  <si>
    <t>3 .Административные расходы</t>
  </si>
  <si>
    <t>4. Сбытовые расходы гарантирующих организаций</t>
  </si>
  <si>
    <t>5. Амортизация</t>
  </si>
  <si>
    <t>6. Расходы на арендную плату, лизинговые платежи, концессионную плату</t>
  </si>
  <si>
    <t>7. Расходы связанные с уплатой налогов и сборов</t>
  </si>
  <si>
    <t>СЕБЕСТОИМОСТЬ</t>
  </si>
  <si>
    <t>Налог на прибыль</t>
  </si>
  <si>
    <t>Расходы на социальные нужды, предусмотренные коллективными договорами, в соответствии с подпунктом 3 пункта 31 Методических указаний</t>
  </si>
  <si>
    <t>НЕОБХОДИМАЯ ВАЛОВАЯ ВЫРУЧКА  (НВВ)</t>
  </si>
  <si>
    <t xml:space="preserve">ТАРИФ на водоснабжение </t>
  </si>
  <si>
    <t>Индекс цен на электрическую энергию</t>
  </si>
  <si>
    <t>Себестоимость</t>
  </si>
  <si>
    <t>12</t>
  </si>
  <si>
    <t>13</t>
  </si>
  <si>
    <t>14</t>
  </si>
  <si>
    <t>15</t>
  </si>
  <si>
    <t>17</t>
  </si>
  <si>
    <t>18</t>
  </si>
  <si>
    <t>19</t>
  </si>
  <si>
    <t>СМЕТА РАСХОДОВ НА ВОДООТВЕДЕНИЕ, , ТРАНСПОРТИРОВКУ СТОЧНЫХ ВОД</t>
  </si>
  <si>
    <t>Расходы на текущий ремонт централизированных систем  водоотведения либо объектов, входящих в состав таких систем</t>
  </si>
  <si>
    <t>Расходы на текущий ремонт централизированных систем водоснабжения либо объектов, входящих в состав таких систем</t>
  </si>
  <si>
    <t>Расходы на капитальный ремонт централизованных систем водоснабжения  либо объектов, входящих в состав таких систем</t>
  </si>
  <si>
    <t>Расходы на капитальный ремонт централизованных систем водоотведения либо объектов, входящих в состав таких систем</t>
  </si>
  <si>
    <t>Расходы на текущий ремонт централизированных систем  водоотведения либо объектов, входящих в состав таких систем:</t>
  </si>
  <si>
    <t>Наименование организации</t>
  </si>
  <si>
    <t>1.2 Расходы на энергетические ресурсы и холодную воду</t>
  </si>
  <si>
    <t>1.2.3 Расходы на приобретение теплоносителя</t>
  </si>
  <si>
    <t>1.2.5 Расходы на приобретение холодной воды</t>
  </si>
  <si>
    <t>1.3. Расходы на оплату работ и услуг, выполняемых сторонними организациями и индивидуальными предпринимателями, связанные с эксплуатацией централизованных систем, либо объектов в составе таких систем</t>
  </si>
  <si>
    <r>
      <rPr>
        <b/>
        <u/>
        <sz val="11"/>
        <color rgb="FFFF0000"/>
        <rFont val="Calibri"/>
        <family val="2"/>
        <charset val="204"/>
        <scheme val="minor"/>
      </rPr>
      <t>п. 1.4</t>
    </r>
    <r>
      <rPr>
        <u/>
        <sz val="11"/>
        <color rgb="FFFF0000"/>
        <rFont val="Calibri"/>
        <family val="2"/>
        <charset val="204"/>
        <scheme val="minor"/>
      </rPr>
      <t xml:space="preserve"> </t>
    </r>
    <r>
      <rPr>
        <i/>
        <u/>
        <sz val="11"/>
        <color rgb="FFFF0000"/>
        <rFont val="Calibri"/>
        <family val="2"/>
        <charset val="204"/>
        <scheme val="minor"/>
      </rPr>
      <t xml:space="preserve">Расходы на оплату труда и отчисления на социальные нужды основного производственного персонала, в том числе налоги и сборы см. вкладку Зар. Плата </t>
    </r>
  </si>
  <si>
    <t>п.1.5 Расходы на уплату процентов по займам и кредитам</t>
  </si>
  <si>
    <r>
      <rPr>
        <b/>
        <u/>
        <sz val="11"/>
        <color rgb="FFFF0000"/>
        <rFont val="Calibri"/>
        <family val="2"/>
        <charset val="204"/>
        <scheme val="minor"/>
      </rPr>
      <t>п.1.6</t>
    </r>
    <r>
      <rPr>
        <u/>
        <sz val="11"/>
        <color rgb="FFFF0000"/>
        <rFont val="Calibri"/>
        <family val="2"/>
        <charset val="204"/>
        <scheme val="minor"/>
      </rPr>
      <t xml:space="preserve"> Цеховые расходы, см. вкладку Цеховые расходы"</t>
    </r>
  </si>
  <si>
    <t>1.7. Прочие производственные расходы</t>
  </si>
  <si>
    <r>
      <rPr>
        <b/>
        <u/>
        <sz val="11"/>
        <color rgb="FFFF0000"/>
        <rFont val="Calibri"/>
        <family val="2"/>
        <charset val="204"/>
        <scheme val="minor"/>
      </rPr>
      <t>п.3</t>
    </r>
    <r>
      <rPr>
        <u/>
        <sz val="11"/>
        <color rgb="FFFF0000"/>
        <rFont val="Calibri"/>
        <family val="2"/>
        <charset val="204"/>
        <scheme val="minor"/>
      </rPr>
      <t xml:space="preserve"> Административные расходы, см. вкладку "Административные расходы"</t>
    </r>
  </si>
  <si>
    <t>9. Недополученные доходы расходы прошлых периодов</t>
  </si>
  <si>
    <r>
      <rPr>
        <b/>
        <sz val="11"/>
        <color rgb="FFFF0000"/>
        <rFont val="Calibri"/>
        <family val="2"/>
        <charset val="204"/>
        <scheme val="minor"/>
      </rPr>
      <t>п. 1.4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i/>
        <u/>
        <sz val="11"/>
        <color rgb="FFFF0000"/>
        <rFont val="Calibri"/>
        <family val="2"/>
        <charset val="204"/>
        <scheme val="minor"/>
      </rPr>
      <t xml:space="preserve">Расходы на оплату труда и отчисления на социальные нужды основного производственного персонала, в том числе налоги и сборы см. вкладку Зар. Плата </t>
    </r>
  </si>
  <si>
    <r>
      <rPr>
        <b/>
        <sz val="11"/>
        <color rgb="FFFF0000"/>
        <rFont val="Calibri"/>
        <family val="2"/>
        <charset val="204"/>
        <scheme val="minor"/>
      </rPr>
      <t xml:space="preserve">п.1.6 </t>
    </r>
    <r>
      <rPr>
        <i/>
        <u/>
        <sz val="11"/>
        <color rgb="FFFF0000"/>
        <rFont val="Calibri"/>
        <family val="2"/>
        <charset val="204"/>
        <scheme val="minor"/>
      </rPr>
      <t>Цеховые расходы, см. вкладку Цеховые расходы"</t>
    </r>
  </si>
  <si>
    <t>п.3 Административные расходы, см. вкладку "Административные расходы"</t>
  </si>
  <si>
    <t>Экспертиза по водоотведению</t>
  </si>
  <si>
    <t>Экспертиза по водоснабжению</t>
  </si>
  <si>
    <t>распределение ВС</t>
  </si>
  <si>
    <t>распределение ВО</t>
  </si>
  <si>
    <t>Расходы на материалы, ГСМ, запчасти и пр.</t>
  </si>
  <si>
    <t>3.7.3</t>
  </si>
  <si>
    <t>Хлор</t>
  </si>
  <si>
    <t>1.3.2.</t>
  </si>
  <si>
    <t>1.3.3.</t>
  </si>
  <si>
    <t>1.4.2.</t>
  </si>
  <si>
    <t>1.4.3.</t>
  </si>
  <si>
    <t>1.5.2.</t>
  </si>
  <si>
    <t>1.5.3.</t>
  </si>
  <si>
    <t>1.6.1</t>
  </si>
  <si>
    <t>1.6.2.</t>
  </si>
  <si>
    <t>1.6.3.</t>
  </si>
  <si>
    <t>1.7.2.</t>
  </si>
  <si>
    <t>1.7.3.</t>
  </si>
  <si>
    <t>Перманганат калия</t>
  </si>
  <si>
    <t>Медный купорос</t>
  </si>
  <si>
    <t>1.8.1</t>
  </si>
  <si>
    <t>1.8.2.</t>
  </si>
  <si>
    <t>1.8.3.</t>
  </si>
  <si>
    <t>1.9</t>
  </si>
  <si>
    <t>1.9.1</t>
  </si>
  <si>
    <t>1.9.2.</t>
  </si>
  <si>
    <t>1.9.3.</t>
  </si>
  <si>
    <t>Гипохлодид натрия</t>
  </si>
  <si>
    <t>Соль пищевая</t>
  </si>
  <si>
    <t>1.10</t>
  </si>
  <si>
    <t>1.10.1</t>
  </si>
  <si>
    <t>1.10.2.</t>
  </si>
  <si>
    <t>1.10.3.</t>
  </si>
  <si>
    <t>1.11</t>
  </si>
  <si>
    <t>1.11.1</t>
  </si>
  <si>
    <t>1.11.2.</t>
  </si>
  <si>
    <t>1.11.3.</t>
  </si>
  <si>
    <t xml:space="preserve">Кислота соляная </t>
  </si>
  <si>
    <t>Перекись водорода</t>
  </si>
  <si>
    <t>Флокулянт суперфлок</t>
  </si>
  <si>
    <t>Диз. Топливо</t>
  </si>
  <si>
    <t>л</t>
  </si>
  <si>
    <t>Бензин АИ-92</t>
  </si>
  <si>
    <t>Бензин АИ-95</t>
  </si>
  <si>
    <t>1.12</t>
  </si>
  <si>
    <t>1.12.1</t>
  </si>
  <si>
    <t>1.12.2.</t>
  </si>
  <si>
    <t>1.12.3.</t>
  </si>
  <si>
    <t>Гипохлорит натрия</t>
  </si>
  <si>
    <t>Гипохлорит кальция</t>
  </si>
  <si>
    <t xml:space="preserve">Сульфат железа </t>
  </si>
  <si>
    <t>Флокулян феннопол</t>
  </si>
  <si>
    <t>Ацитилен</t>
  </si>
  <si>
    <t>Кабель ВВГ4х120</t>
  </si>
  <si>
    <t>Кабель ВВГ 4х 120</t>
  </si>
  <si>
    <t>Суммарные затраты</t>
  </si>
  <si>
    <t>МУП "Каплининградтеплосеть"</t>
  </si>
  <si>
    <t>МУП Калининградтеплосеть"</t>
  </si>
  <si>
    <t>Диз. топливо для ГВС</t>
  </si>
  <si>
    <t>ООО "Дельта-Е"</t>
  </si>
  <si>
    <t>ОАО "69 РЗ РАВ"</t>
  </si>
  <si>
    <t>Затраты на транспортирование стоков</t>
  </si>
  <si>
    <t>Транспортирование стоков</t>
  </si>
  <si>
    <t>Тариф на транспортирование стоков</t>
  </si>
  <si>
    <t>ООО "Автотор-энерго"</t>
  </si>
  <si>
    <t>С</t>
  </si>
  <si>
    <t>ОАО "Автотехсервис"</t>
  </si>
  <si>
    <t>ООО "Техпроминвест"</t>
  </si>
  <si>
    <t>Тариф на очистку стоков</t>
  </si>
  <si>
    <t>Затраты на транспортирование  стоков</t>
  </si>
  <si>
    <t>Затраты на очистку стоков</t>
  </si>
  <si>
    <t>Очистка стоков</t>
  </si>
  <si>
    <t>ООО ТПК "Балтптицепром</t>
  </si>
  <si>
    <t>ОАО "Прибалтийский судостроительный завод"</t>
  </si>
  <si>
    <t>Морской банк, кред. дог. 32-КД/12-КЮ от 17.12.2012</t>
  </si>
  <si>
    <t>Морской банк, кред. дог. 41-КД/11-КЮ от 28.12.2011</t>
  </si>
  <si>
    <t>Банк Москвы, кред. дог. 07/15/60-13 от 26.12.13г.</t>
  </si>
  <si>
    <t>Банк Москвы, кред.дог. 07/15/34-14 от 15.08.14г.</t>
  </si>
  <si>
    <t>Сбербанк России</t>
  </si>
  <si>
    <t>Подъем воды (РПВ)</t>
  </si>
  <si>
    <t>Очистка воды (РОВ)</t>
  </si>
  <si>
    <t>Транспортирование воды (РТВ)</t>
  </si>
  <si>
    <t xml:space="preserve">Прием  (перекачка) и транспортирование стоков </t>
  </si>
  <si>
    <t>Очистка стоков и утилизация сточной жидкости (РОС)</t>
  </si>
  <si>
    <t>Утилизация осадка и его захоронение</t>
  </si>
  <si>
    <t>план СГРЦиТ, по протоколу № 109-03/12</t>
  </si>
  <si>
    <t>база</t>
  </si>
  <si>
    <t xml:space="preserve">Численность производственного персонала </t>
  </si>
  <si>
    <t xml:space="preserve">Численность  персонала </t>
  </si>
  <si>
    <t>Распределение пропорционально оплате труда</t>
  </si>
  <si>
    <t>лизинг автотранспорта</t>
  </si>
  <si>
    <t>Земельный налог/Аренда земли</t>
  </si>
  <si>
    <t>Недополученный доход по объемам реализации</t>
  </si>
  <si>
    <t>Сбытовые расходы гарантирующей организации в размере 2% от  НВВ, относимой на население</t>
  </si>
  <si>
    <r>
      <t xml:space="preserve">Прочее </t>
    </r>
    <r>
      <rPr>
        <b/>
        <sz val="11"/>
        <color theme="1"/>
        <rFont val="Calibri"/>
        <family val="2"/>
        <charset val="204"/>
        <scheme val="minor"/>
      </rPr>
      <t>(СИБ), внебюждетные фонды ППСИ, СИД</t>
    </r>
  </si>
  <si>
    <t>20</t>
  </si>
  <si>
    <t>21</t>
  </si>
  <si>
    <t>23</t>
  </si>
  <si>
    <t>24</t>
  </si>
  <si>
    <t>26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</si>
  <si>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</si>
  <si>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</si>
  <si>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</si>
  <si>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</si>
  <si>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</si>
  <si>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</si>
  <si>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</si>
  <si>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</si>
  <si>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</si>
  <si>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</si>
  <si>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</si>
  <si>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39</t>
  </si>
  <si>
    <t>40</t>
  </si>
  <si>
    <t>42</t>
  </si>
  <si>
    <t>43</t>
  </si>
  <si>
    <t>45</t>
  </si>
  <si>
    <t>47</t>
  </si>
  <si>
    <t>48</t>
  </si>
  <si>
    <t>49</t>
  </si>
  <si>
    <t>50</t>
  </si>
  <si>
    <t>51</t>
  </si>
  <si>
    <t>52</t>
  </si>
  <si>
    <t>53</t>
  </si>
  <si>
    <t>54</t>
  </si>
  <si>
    <t>Ремонт и техническое обсл.</t>
  </si>
  <si>
    <t>Капитальный ремонт</t>
  </si>
  <si>
    <t>Начисление ЕСН</t>
  </si>
  <si>
    <t xml:space="preserve">Расходы на уборку и вывоз мусора </t>
  </si>
  <si>
    <t>Страхование автотранспорта</t>
  </si>
  <si>
    <t>Ремонт  и обслуживание автотранспорта</t>
  </si>
  <si>
    <t>Услуги стороннего автотранспорта</t>
  </si>
  <si>
    <t>ТО автотранспорта</t>
  </si>
  <si>
    <t>Приобретение маршрутных карт</t>
  </si>
  <si>
    <t>Услуги автомойки</t>
  </si>
  <si>
    <t>Услуги стационарной телефонной связи</t>
  </si>
  <si>
    <t>Обслуживание системы спутникового контроля</t>
  </si>
  <si>
    <t>Поверка средств измерения</t>
  </si>
  <si>
    <t>Расходные материалы и реактивы</t>
  </si>
  <si>
    <t>Инвентарь</t>
  </si>
  <si>
    <t>Услуги сторонних организаций по профосмотру</t>
  </si>
  <si>
    <t>Спецодежда</t>
  </si>
  <si>
    <t>Расходы на молоко</t>
  </si>
  <si>
    <t>Услуги по горячему  питанию</t>
  </si>
  <si>
    <t>Рекламные расходы</t>
  </si>
  <si>
    <t>Обучение, семинары</t>
  </si>
  <si>
    <t>Почтовые расходы</t>
  </si>
  <si>
    <t>Командировочные расходы</t>
  </si>
  <si>
    <t>Аренда оборудования (лизинг)</t>
  </si>
  <si>
    <t>Внутреннее водопотребление</t>
  </si>
  <si>
    <t>Аренда земли</t>
  </si>
  <si>
    <t>Ремонт и обслуживание офисного оборудования</t>
  </si>
  <si>
    <t>Оргтехника стоимостью менее 40 т.р.</t>
  </si>
  <si>
    <t>Прочие мероприятия по ГО и ЧС</t>
  </si>
  <si>
    <t>Страхование недвижимости</t>
  </si>
  <si>
    <t>Расходы по оформлению документов</t>
  </si>
  <si>
    <t>Природный газ</t>
  </si>
  <si>
    <t>Расходы по сертификации и обследованиям</t>
  </si>
  <si>
    <t>Расходы по промышленной безопасности</t>
  </si>
  <si>
    <t>Расчет недополученного дохода за 2013 год по объемам реализации.</t>
  </si>
  <si>
    <t>1. Водоснабжение</t>
  </si>
  <si>
    <t>Параметры</t>
  </si>
  <si>
    <t>Утверждено СГРЦиТ на 2014</t>
  </si>
  <si>
    <t>Факт Водоканал 2013</t>
  </si>
  <si>
    <t>Недополученный доход (тыс. руб.)</t>
  </si>
  <si>
    <t>с 01.01.2013 по 30.06.2013</t>
  </si>
  <si>
    <t>Реализация 1 полугодие 2013, тыс. м. куб.</t>
  </si>
  <si>
    <t>Тариф на 1 полугодие 2013 года, руб за куб.м без НДС</t>
  </si>
  <si>
    <t>НВВ 1 полугодие 2013, тыс. руб.</t>
  </si>
  <si>
    <t>с 01.07.2013 по 31.12.2013</t>
  </si>
  <si>
    <t>Реализация 2 полугодие 2013, тыс. м. куб.</t>
  </si>
  <si>
    <t>Тариф на 2 полугодие 2013 года, руб за куб.м без НДС</t>
  </si>
  <si>
    <t>НВВ 2 полугодие 2013, тыс. руб.</t>
  </si>
  <si>
    <t>Реализация год 2013, тыс. м. куб.</t>
  </si>
  <si>
    <t>средний тариф по году, руб. за куб. м</t>
  </si>
  <si>
    <t>НВВ год 2013, тыс. руб.</t>
  </si>
  <si>
    <t>2. Водоотведение</t>
  </si>
  <si>
    <t>Утверждено СГРЦиТ на 2013</t>
  </si>
  <si>
    <t>Реализация стоков с ливневкой</t>
  </si>
  <si>
    <t>Объем ливневки</t>
  </si>
  <si>
    <t>Реализация 1 полугодие 2013, тыс. м. куб. без ливневки</t>
  </si>
  <si>
    <t>Недополученный доход по водоснабжению и водоотведении, всего за 2013 год</t>
  </si>
  <si>
    <t>Исполнитель</t>
  </si>
  <si>
    <t xml:space="preserve">Шумская Ж.В. </t>
  </si>
  <si>
    <t>Распределение объема ливневки по полугодиям</t>
  </si>
  <si>
    <t xml:space="preserve">Общий объем  стоков с ливневкой за 2013, в т.ч </t>
  </si>
  <si>
    <t>Общий объем ливневки за год 2013</t>
  </si>
  <si>
    <t>Общий объемстоков без ливневки за год 2013</t>
  </si>
  <si>
    <t>2013 год, в т.ч.</t>
  </si>
  <si>
    <t>1 полугодие</t>
  </si>
  <si>
    <t>2 полугодие</t>
  </si>
  <si>
    <t>Расчет недополученного дохода за 2014 год по объемам реализации.</t>
  </si>
  <si>
    <t xml:space="preserve"> Водоканал , ожидаемый 2014</t>
  </si>
  <si>
    <t>с 01.01.2014 по 30.06.2014</t>
  </si>
  <si>
    <t>Реализация 1 полугодие 2014, тыс. м. куб.</t>
  </si>
  <si>
    <t>Тариф на 1 полугодие 2014 года, руб за куб.м без НДС</t>
  </si>
  <si>
    <t>НВВ 1 полугодие 2014, тыс. руб.</t>
  </si>
  <si>
    <t>с 01.07.2014 по 31.12.2014</t>
  </si>
  <si>
    <t>Реализация 2 полугодие 2014, тыс. м. куб.</t>
  </si>
  <si>
    <t>Тариф на 2 полугодие 2014 года, руб за куб.м без НДС</t>
  </si>
  <si>
    <t>НВВ 2 полугодие 2014, тыс. руб.</t>
  </si>
  <si>
    <t>Реализация год 2014, тыс. м. куб.</t>
  </si>
  <si>
    <t xml:space="preserve"> Водоканал ожидаемый 2014</t>
  </si>
  <si>
    <t>Реализация 1 полугодие 2014, тыс. м. куб. без ливневки</t>
  </si>
  <si>
    <t>НВВ год 2014, тыс. руб.</t>
  </si>
  <si>
    <t>Недополученный доход по водоснабжению и водоотведении, всего за 2014 год</t>
  </si>
  <si>
    <t>Расчет  сбытовых расходов МУП КХ "Водоканал"</t>
  </si>
  <si>
    <t>в соответствии с п. 26 Методических указаний по расчету регулируемых тарифов</t>
  </si>
  <si>
    <t>в сфере водоснабжения и водоотведения , утвержденных приказом № 1746-э от 27.12.2013</t>
  </si>
  <si>
    <t>Факт 2013 года в руб.</t>
  </si>
  <si>
    <t>Факт 2013 года в %</t>
  </si>
  <si>
    <t>НВВ факт за 2013 год</t>
  </si>
  <si>
    <t>1.Водоснабжение</t>
  </si>
  <si>
    <t>Выручка от реализации  (население)</t>
  </si>
  <si>
    <t>Выручка от реализации  (прочие)</t>
  </si>
  <si>
    <t xml:space="preserve">Выручка в руб. всего </t>
  </si>
  <si>
    <t>1.Водоотведение</t>
  </si>
  <si>
    <t>Исполнитель Шумская Ж.В.</t>
  </si>
  <si>
    <t>тел. 21-79-66</t>
  </si>
  <si>
    <t>Земельный налог/ Аренда земли</t>
  </si>
  <si>
    <t>Величина нормативной прибыли, определенная в соответствии с пунктом 31 настоящих Методических указаний. 3%</t>
  </si>
  <si>
    <t>Кредитор</t>
  </si>
  <si>
    <t>Продукт (кредит/займ)</t>
  </si>
  <si>
    <t>Дата возникновения обязательства</t>
  </si>
  <si>
    <t>Сумма по договору</t>
  </si>
  <si>
    <t>Сумма текущей задолженности</t>
  </si>
  <si>
    <t>Валюта</t>
  </si>
  <si>
    <t>Ставка</t>
  </si>
  <si>
    <t>График погашения</t>
  </si>
  <si>
    <t>ОАО «Морской Акционерный Банк»</t>
  </si>
  <si>
    <t>Кредитный договор № 41- КД/11-КЮ</t>
  </si>
  <si>
    <t>Банк Москвы</t>
  </si>
  <si>
    <t>Кредитный договор № 07/15/60-13</t>
  </si>
  <si>
    <t>проценты начисляются ежемесячно в последний рабочий день месяца, возврат по следущему графику :                20 000 000 руб. до 25.08.2016;                 40 000 000 руб. до 23.09.2016;                                           60 000 000 руб. до 25.10.2016;                          80 000 000 руб. до 25.11.2016</t>
  </si>
  <si>
    <t>Кредитный договор № 07/15/34-14</t>
  </si>
  <si>
    <t>с ноября 2014 по 4 500 000 ежемесячно</t>
  </si>
  <si>
    <t xml:space="preserve">МинФин РФ </t>
  </si>
  <si>
    <t>Соглашение о субзайме № 01-06/27-1752</t>
  </si>
  <si>
    <t>МинФин РФ</t>
  </si>
  <si>
    <t>Мировое соглашение по делу №А40-180638/11-47-158</t>
  </si>
  <si>
    <t>1 раз в год</t>
  </si>
  <si>
    <t>Наименование Банка</t>
  </si>
  <si>
    <t>№ договора</t>
  </si>
  <si>
    <t>Сумма платежей в 2014 году,                 тыс. руб.</t>
  </si>
  <si>
    <t>Сумма платежей в 2015 году,        тыс. руб.</t>
  </si>
  <si>
    <t>Сумма платежей в 2016 году,        тыс. руб.</t>
  </si>
  <si>
    <t>Сумма платежей в 2017году,        тыс. руб.</t>
  </si>
  <si>
    <t xml:space="preserve">ИТОГО </t>
  </si>
  <si>
    <t>Приложение 1.1</t>
  </si>
  <si>
    <t>к Методическим указаниям,</t>
  </si>
  <si>
    <t>от 27.12.2013 № 1746-Э</t>
  </si>
  <si>
    <t>Баланс водоотведения</t>
  </si>
  <si>
    <t>Единица измерения</t>
  </si>
  <si>
    <r>
      <t xml:space="preserve">Истекший год         </t>
    </r>
    <r>
      <rPr>
        <sz val="10"/>
        <rFont val="Times New Roman"/>
        <family val="1"/>
        <charset val="204"/>
      </rPr>
      <t xml:space="preserve">    2012</t>
    </r>
  </si>
  <si>
    <r>
      <t xml:space="preserve">Истекший год   </t>
    </r>
    <r>
      <rPr>
        <sz val="12"/>
        <color indexed="12"/>
        <rFont val="Times New Roman"/>
        <family val="1"/>
        <charset val="204"/>
      </rPr>
      <t>2013</t>
    </r>
  </si>
  <si>
    <r>
      <t xml:space="preserve">Текущий  год    </t>
    </r>
    <r>
      <rPr>
        <sz val="12"/>
        <color indexed="12"/>
        <rFont val="Times New Roman"/>
        <family val="1"/>
        <charset val="204"/>
      </rPr>
      <t>2014</t>
    </r>
  </si>
  <si>
    <r>
      <t xml:space="preserve">Очередной                   год </t>
    </r>
    <r>
      <rPr>
        <sz val="12"/>
        <color indexed="12"/>
        <rFont val="Times New Roman"/>
        <family val="1"/>
        <charset val="204"/>
      </rPr>
      <t>2015</t>
    </r>
  </si>
  <si>
    <r>
      <t xml:space="preserve">Очередной              год </t>
    </r>
    <r>
      <rPr>
        <sz val="12"/>
        <color indexed="12"/>
        <rFont val="Times New Roman"/>
        <family val="1"/>
        <charset val="204"/>
      </rPr>
      <t>2016</t>
    </r>
  </si>
  <si>
    <r>
      <t xml:space="preserve">Очередной                     год </t>
    </r>
    <r>
      <rPr>
        <sz val="12"/>
        <color indexed="12"/>
        <rFont val="Times New Roman"/>
        <family val="1"/>
        <charset val="204"/>
      </rPr>
      <t>2017</t>
    </r>
  </si>
  <si>
    <r>
      <t xml:space="preserve">план     </t>
    </r>
    <r>
      <rPr>
        <sz val="10"/>
        <color indexed="8"/>
        <rFont val="Times New Roman"/>
        <family val="1"/>
        <charset val="204"/>
      </rPr>
      <t>(утв.СГРЦиТ)</t>
    </r>
  </si>
  <si>
    <t>6 мес.</t>
  </si>
  <si>
    <t>ожид</t>
  </si>
  <si>
    <t>Прием сточных вод</t>
  </si>
  <si>
    <t>Объем сточных вод, принятых у абонентов</t>
  </si>
  <si>
    <t>тыс. куб. м</t>
  </si>
  <si>
    <t>в пределах норматива по объему</t>
  </si>
  <si>
    <t>сверх норматива по объему</t>
  </si>
  <si>
    <t>По категориям сточных вод:</t>
  </si>
  <si>
    <t>жидких бытовых отходов</t>
  </si>
  <si>
    <t>поверхностных сточных вод</t>
  </si>
  <si>
    <t>от абонентов, которым установлены тарифы</t>
  </si>
  <si>
    <t>от других абонентов</t>
  </si>
  <si>
    <t>у нормируемых абонентов</t>
  </si>
  <si>
    <t>у многоквартирных домов и приравненных к ним</t>
  </si>
  <si>
    <t>у прочих абонентов, в том числе:</t>
  </si>
  <si>
    <t>1.2.5.1</t>
  </si>
  <si>
    <t>категория абонентов - бюджет</t>
  </si>
  <si>
    <t>1.2.5.2</t>
  </si>
  <si>
    <t>категория абонентов  - предприятия, организации</t>
  </si>
  <si>
    <t>По абонентам</t>
  </si>
  <si>
    <t>от других организаций, осуществляющих водоотведение</t>
  </si>
  <si>
    <t>1.3.1.1</t>
  </si>
  <si>
    <t>ОАО "Славянка"</t>
  </si>
  <si>
    <t>от собственных абонентов</t>
  </si>
  <si>
    <t>Неучтенный приток сточных вод</t>
  </si>
  <si>
    <r>
      <t xml:space="preserve">Организованный приток </t>
    </r>
    <r>
      <rPr>
        <sz val="12"/>
        <color indexed="12"/>
        <rFont val="Times New Roman"/>
        <family val="1"/>
        <charset val="204"/>
      </rPr>
      <t>(внутрихозяйственный оборот)</t>
    </r>
  </si>
  <si>
    <t>Неорганизованный приток</t>
  </si>
  <si>
    <t>1.4.2.1.</t>
  </si>
  <si>
    <t>в т.ч. объем ливневых сточных вод, пропущенных через очистные сооружения</t>
  </si>
  <si>
    <t>вкл. в стр. 1.1.</t>
  </si>
  <si>
    <t>1.4.2.2.</t>
  </si>
  <si>
    <t xml:space="preserve">         прочий неорг. приток</t>
  </si>
  <si>
    <t>Поступило с территорий, дифференцированных по тарифу</t>
  </si>
  <si>
    <t xml:space="preserve"> -</t>
  </si>
  <si>
    <t>Объем транспортируемых сточных вод</t>
  </si>
  <si>
    <t>ОТВОД СТОКОВ</t>
  </si>
  <si>
    <t>На собственные очистные сооружения</t>
  </si>
  <si>
    <t>Другим организациям</t>
  </si>
  <si>
    <t>В аварийные выпуски</t>
  </si>
  <si>
    <t>Объем сточных вод, поступивших на очистные сооружения</t>
  </si>
  <si>
    <t>Объем сточных вод, прошедших очистку</t>
  </si>
  <si>
    <t>Сбросы сточных вод в пределах нормативов и лимитов</t>
  </si>
  <si>
    <t>Объем обезвоженного осадка сточных вод</t>
  </si>
  <si>
    <r>
      <t xml:space="preserve">Темп изменения объема отводимых сточных вод </t>
    </r>
    <r>
      <rPr>
        <b/>
        <sz val="12"/>
        <color indexed="12"/>
        <rFont val="Times New Roman"/>
        <family val="1"/>
        <charset val="204"/>
      </rPr>
      <t>(прошедших очистку)</t>
    </r>
  </si>
  <si>
    <t>Начальник АО</t>
  </si>
  <si>
    <t>Н.В. Панасевич</t>
  </si>
  <si>
    <t>Начальник ПТО</t>
  </si>
  <si>
    <t>М.В. Маюнов</t>
  </si>
  <si>
    <t>Приложение 1</t>
  </si>
  <si>
    <t>Баланс водоснабжения</t>
  </si>
  <si>
    <t xml:space="preserve">ожид         </t>
  </si>
  <si>
    <t>Водоподготовка</t>
  </si>
  <si>
    <t>Объем воды из источников водоснабжения:</t>
  </si>
  <si>
    <t>из поверхностных источников</t>
  </si>
  <si>
    <t>из подземных источников</t>
  </si>
  <si>
    <t>доочищенная сточная вода для нужд технического водоснабжения</t>
  </si>
  <si>
    <t>Объем воды,  прошедшей водоподготовку</t>
  </si>
  <si>
    <t>Потребление на собственные нужды</t>
  </si>
  <si>
    <t>1.3.</t>
  </si>
  <si>
    <t>Объем технической воды, поданной в сеть</t>
  </si>
  <si>
    <t>Приготовление горячей воды</t>
  </si>
  <si>
    <t>Объем воды из собственных источников</t>
  </si>
  <si>
    <t>Объем приобретенной питьевой воды</t>
  </si>
  <si>
    <t>Объем горячей воды, поданной в сеть</t>
  </si>
  <si>
    <t>Транспортировка питьевой воды</t>
  </si>
  <si>
    <t>Объем воды, поступившей в сеть:</t>
  </si>
  <si>
    <t>3.1.1.</t>
  </si>
  <si>
    <t>из собственных источников</t>
  </si>
  <si>
    <t>3.1.2.</t>
  </si>
  <si>
    <t>от других операторов</t>
  </si>
  <si>
    <t>3.1.3.</t>
  </si>
  <si>
    <t>получено от других территорий дифференцированных по тарифу</t>
  </si>
  <si>
    <t>Потери воды</t>
  </si>
  <si>
    <t>в стр.3.2.</t>
  </si>
  <si>
    <t>Объем воды, отпущенной из сети</t>
  </si>
  <si>
    <t>Передано на другие территории, дифференцированные по тарифу</t>
  </si>
  <si>
    <t>Транспортировка технической воды</t>
  </si>
  <si>
    <t>4.1.</t>
  </si>
  <si>
    <t>Объем воды, поступившей в сеть</t>
  </si>
  <si>
    <t>4.2.</t>
  </si>
  <si>
    <t>4.3.</t>
  </si>
  <si>
    <t>4.4.</t>
  </si>
  <si>
    <t>Транспортировка горячей воды</t>
  </si>
  <si>
    <t>5.1.</t>
  </si>
  <si>
    <t>5.2.</t>
  </si>
  <si>
    <t>5.3.</t>
  </si>
  <si>
    <t>5.4.</t>
  </si>
  <si>
    <t>Отпуск питьевой воды</t>
  </si>
  <si>
    <t>6.1.</t>
  </si>
  <si>
    <t>Объем воды, отпущенной абонентам:</t>
  </si>
  <si>
    <t>6.1.1.</t>
  </si>
  <si>
    <t>по приборам учета</t>
  </si>
  <si>
    <t>6.1.2.</t>
  </si>
  <si>
    <t>по нормативам</t>
  </si>
  <si>
    <t>6.2.</t>
  </si>
  <si>
    <t>для приготовления горячей воды</t>
  </si>
  <si>
    <t>6.3.</t>
  </si>
  <si>
    <t>при дифференциации тарифов по объему</t>
  </si>
  <si>
    <t>тыс. куб. м </t>
  </si>
  <si>
    <t>6.3.1.</t>
  </si>
  <si>
    <t>в пределах i-го объема</t>
  </si>
  <si>
    <t>6.4.</t>
  </si>
  <si>
    <t>6.4.1.</t>
  </si>
  <si>
    <t>другим организациям, осуществляющим водоснабжение</t>
  </si>
  <si>
    <t>6.4.1.1.</t>
  </si>
  <si>
    <t>6.4.1.2.</t>
  </si>
  <si>
    <t>МУП ЖКХ "Гурьевский водоканал"</t>
  </si>
  <si>
    <t>6.4.1.3.</t>
  </si>
  <si>
    <t>МУП ЖКХ МО "Озерковское сельское поселение"</t>
  </si>
  <si>
    <t>6.4.1.4.</t>
  </si>
  <si>
    <t>ООО "Калининград"</t>
  </si>
  <si>
    <t>объем перешел в стр. 6.4.1.2.</t>
  </si>
  <si>
    <t>6.4.2.</t>
  </si>
  <si>
    <t>собственным абонентам</t>
  </si>
  <si>
    <t>Отпуск технической воды</t>
  </si>
  <si>
    <t>7.1.</t>
  </si>
  <si>
    <t>Объем воды, отпущенной абонентам</t>
  </si>
  <si>
    <t>7.2.</t>
  </si>
  <si>
    <t>7.2.1.</t>
  </si>
  <si>
    <t>7.3.</t>
  </si>
  <si>
    <t>7.3.1.</t>
  </si>
  <si>
    <t>7.3.1.1.</t>
  </si>
  <si>
    <t>организация 1</t>
  </si>
  <si>
    <t>7.3.1.2.</t>
  </si>
  <si>
    <t>организация 2</t>
  </si>
  <si>
    <t>7.3.1.n</t>
  </si>
  <si>
    <t>организация n</t>
  </si>
  <si>
    <t>7.3.2.</t>
  </si>
  <si>
    <t>Отпуск горячей воды</t>
  </si>
  <si>
    <t>8.1.</t>
  </si>
  <si>
    <t>8.2.1.</t>
  </si>
  <si>
    <t>8.2.2.</t>
  </si>
  <si>
    <t>8.3.1.</t>
  </si>
  <si>
    <t>в соответствии с санитарными нормами</t>
  </si>
  <si>
    <t>8.3.2.</t>
  </si>
  <si>
    <t>с нарушениями санитарных норм</t>
  </si>
  <si>
    <t>8.3.2.1</t>
  </si>
  <si>
    <t>по температуре</t>
  </si>
  <si>
    <t>8.3.2.2</t>
  </si>
  <si>
    <t>по качеству воды</t>
  </si>
  <si>
    <t>8.4.</t>
  </si>
  <si>
    <t>8.4.1.</t>
  </si>
  <si>
    <t>8.5.</t>
  </si>
  <si>
    <t>8.5.1.</t>
  </si>
  <si>
    <t>8.5.1.1</t>
  </si>
  <si>
    <t>8.5.1.2</t>
  </si>
  <si>
    <t>8.5.1.n</t>
  </si>
  <si>
    <t>8.5.2.</t>
  </si>
  <si>
    <t>Объем воды, отпускаемой новым абонентам</t>
  </si>
  <si>
    <t>9.1.</t>
  </si>
  <si>
    <t>Увеличение отпуска питьевой воды в связи с подключением абонентов</t>
  </si>
  <si>
    <t>9.2.</t>
  </si>
  <si>
    <t>Снижение отпуска питьевой воды в связи с прекращением водоснабжения</t>
  </si>
  <si>
    <t>Изменение объема отпуска питьевой воды в связи с изменением нормативов потребления и установкой приборов учета</t>
  </si>
  <si>
    <t>Темп изменения потребления воды</t>
  </si>
  <si>
    <t>Величина нормативной прибыли, определенная в соответствии с пунктом 31 настоящих Методических указаний 3%</t>
  </si>
  <si>
    <t>Начальник ФЭО                      Шумская Ж.В.</t>
  </si>
  <si>
    <t>МУП КХ "Водоканал"</t>
  </si>
  <si>
    <t>в соответсвии с Приказом 58-01окк/14</t>
  </si>
  <si>
    <t xml:space="preserve">Очередной 2016 год </t>
  </si>
  <si>
    <t xml:space="preserve">Очередной 2017 год </t>
  </si>
  <si>
    <t>Прибыль,в т.ч.</t>
  </si>
  <si>
    <t>Расходы на пусконаладку очистных сооружений под нагрузкой</t>
  </si>
  <si>
    <t>2013 факт</t>
  </si>
  <si>
    <t>2014 план</t>
  </si>
  <si>
    <t>факт               1 полугодие 2014</t>
  </si>
  <si>
    <t>ожидаемый 2014 год</t>
  </si>
  <si>
    <t>Прочие прямые расходы</t>
  </si>
  <si>
    <t>Косвенные расходы</t>
  </si>
  <si>
    <t>план СГРЦиТ</t>
  </si>
  <si>
    <t>аренда основного оборудования</t>
  </si>
  <si>
    <t>Запчасти, лакокрасочные</t>
  </si>
  <si>
    <t>Канцелярские, типографские</t>
  </si>
  <si>
    <t>Материалы, производственный инвентарь</t>
  </si>
  <si>
    <t xml:space="preserve">ВСЕГО </t>
  </si>
  <si>
    <t>факт               1 полугодие 2013</t>
  </si>
  <si>
    <t>Материалы на хознужды</t>
  </si>
  <si>
    <t>Контроль качества сточных вод</t>
  </si>
  <si>
    <t>Распределение на регулируемую деятельность, в тыс. руб.</t>
  </si>
  <si>
    <r>
      <t xml:space="preserve">Водоснабжение                            </t>
    </r>
    <r>
      <rPr>
        <sz val="10"/>
        <color theme="1"/>
        <rFont val="Times New Roman"/>
        <family val="1"/>
        <charset val="204"/>
      </rPr>
      <t xml:space="preserve"> ( пропорционально ФОТ производственного персонала)</t>
    </r>
  </si>
  <si>
    <t xml:space="preserve"> Всего  относим затрат на регулируемую деятельность</t>
  </si>
  <si>
    <r>
      <t xml:space="preserve">Водоотведение                          </t>
    </r>
    <r>
      <rPr>
        <sz val="10"/>
        <color theme="1"/>
        <rFont val="Times New Roman"/>
        <family val="1"/>
        <charset val="204"/>
      </rPr>
      <t xml:space="preserve"> ( пропорционально ФОТ производственного персонала)</t>
    </r>
  </si>
  <si>
    <t xml:space="preserve">1) сумма затртат на материалы по статье "материалы на текущий ремонт" , если </t>
  </si>
  <si>
    <t>ремонт объекта производится своими силами;</t>
  </si>
  <si>
    <t>( указывается наименование организации или вид услуг, например: обсуживание лифтов)</t>
  </si>
  <si>
    <t xml:space="preserve">2) полная сумма затрат, если ремонт производится силами привлеченной организации </t>
  </si>
  <si>
    <t>В МУП КХ "Водоканал" по бухгалтерскому учету раздельно</t>
  </si>
  <si>
    <t>учитываются и отражаются затраты на материалы по следующим статьям :</t>
  </si>
  <si>
    <t>" Материалы на текущий ремонт"</t>
  </si>
  <si>
    <t>" Материалы на капитальный ремонт ремонт"</t>
  </si>
  <si>
    <t>" Материалы на хоз. нужды( СМС)"</t>
  </si>
  <si>
    <t>" Материалы, производственный инвентарь"</t>
  </si>
  <si>
    <t xml:space="preserve"> в затратах по статье "текущий ремонт" отражены:</t>
  </si>
  <si>
    <t>В проекте сметы на ВОДОСНАБЖЕНИЕ и ВОДООТВЕДЕНИЕ , поданной в СГРИЦ 01.10.2014,</t>
  </si>
  <si>
    <t xml:space="preserve"> в затратах по статье "капитальный ремонт" отражены:</t>
  </si>
  <si>
    <t xml:space="preserve">1) сумма затрат на материалы , отраженные в бухгалтерском учете по статье </t>
  </si>
  <si>
    <t>"материалы на капитальный ремонт"</t>
  </si>
  <si>
    <t>Заработная плата , начисленная по текущему ремонту отражена в статье " ФОТ ремонтного персонала"</t>
  </si>
  <si>
    <t>так как данные затраты были уже учтены ы статье "ФОТ ремонтного персонала"</t>
  </si>
  <si>
    <t>Корректировка ФОТ ремонтного персонала  в пропорциях  2013 года.</t>
  </si>
  <si>
    <t>Сумма затрат по капитальному ремонту только по ВС и ВО</t>
  </si>
  <si>
    <t>Сумма затрат по текущему ремонту только по ВС и ВО</t>
  </si>
  <si>
    <t>ИТОГО</t>
  </si>
  <si>
    <t>в тыс. руб.</t>
  </si>
  <si>
    <t>в %</t>
  </si>
  <si>
    <r>
      <rPr>
        <b/>
        <sz val="11"/>
        <color theme="1"/>
        <rFont val="Times New Roman"/>
        <family val="1"/>
        <charset val="204"/>
      </rPr>
      <t>ИТОГО</t>
    </r>
    <r>
      <rPr>
        <sz val="11"/>
        <color theme="1"/>
        <rFont val="Times New Roman"/>
        <family val="1"/>
        <charset val="204"/>
      </rPr>
      <t xml:space="preserve"> Отчисления от ФОТ 30,2%</t>
    </r>
  </si>
  <si>
    <t>ФОТ по капитальному ремонту</t>
  </si>
  <si>
    <t>Отчисления от ФОТ по капитальному ремонту</t>
  </si>
  <si>
    <t>ФОТ по текущему ремонту</t>
  </si>
  <si>
    <t>Отчисления от ФОТ по текущему ремонту</t>
  </si>
  <si>
    <r>
      <rPr>
        <b/>
        <sz val="11"/>
        <color theme="1"/>
        <rFont val="Times New Roman"/>
        <family val="1"/>
        <charset val="204"/>
      </rPr>
      <t xml:space="preserve">ИТОГО </t>
    </r>
    <r>
      <rPr>
        <sz val="11"/>
        <color theme="1"/>
        <rFont val="Times New Roman"/>
        <family val="1"/>
        <charset val="204"/>
      </rPr>
      <t>ФОТ ремонтного персонала по ВОДОСНАБЖЕНИЮ</t>
    </r>
  </si>
  <si>
    <r>
      <rPr>
        <b/>
        <sz val="11"/>
        <color theme="1"/>
        <rFont val="Times New Roman"/>
        <family val="1"/>
        <charset val="204"/>
      </rPr>
      <t xml:space="preserve">ИТОГО </t>
    </r>
    <r>
      <rPr>
        <sz val="11"/>
        <color theme="1"/>
        <rFont val="Times New Roman"/>
        <family val="1"/>
        <charset val="204"/>
      </rPr>
      <t>ФОТ ремонтного персонала  по ВОДООТВЕДЕНИЮ</t>
    </r>
  </si>
  <si>
    <t>корректировка по годам</t>
  </si>
  <si>
    <t>факт 2013</t>
  </si>
  <si>
    <t>план 2014</t>
  </si>
  <si>
    <t xml:space="preserve">             </t>
  </si>
  <si>
    <t>Корректировка  по статье "Расходы на капитальный ремонт"</t>
  </si>
  <si>
    <t>план 2013</t>
  </si>
  <si>
    <t>факт 6 мес. 2014</t>
  </si>
  <si>
    <t>ожидаемый 2014</t>
  </si>
  <si>
    <t>план 2015</t>
  </si>
  <si>
    <t>план 2016</t>
  </si>
  <si>
    <t>план 2017</t>
  </si>
  <si>
    <t>сумма затрат по статье "Расходы на капитальный ремонт, указанная в проекте МУП КХ "Водоканал" от 01.10.2014</t>
  </si>
  <si>
    <t>ВОДОСНАБЖЕНИЕ</t>
  </si>
  <si>
    <t>из данных сумм необходимо вычесть :</t>
  </si>
  <si>
    <t>1)сумма затрат по оплате труда ремонтного персонала, отнесенная на капитальный ремонт</t>
  </si>
  <si>
    <t>2)сумма отчислений 30,2 % от ФОТ  ремонтного персонала, отнесенная на капитальный ремонт</t>
  </si>
  <si>
    <t>сумма затрат по статье "Расходы на капитальный ремонт, указанная в проекте МУП КХ "Водоканал" от 10.10.2014</t>
  </si>
  <si>
    <t>ФОТ весь</t>
  </si>
  <si>
    <t>Весь ФОТ</t>
  </si>
  <si>
    <t>9.4</t>
  </si>
  <si>
    <t>Плата за негативное воздействие на ок. среду</t>
  </si>
  <si>
    <t>ВОДООТВЕДЕНИЕ</t>
  </si>
  <si>
    <t xml:space="preserve">Контроль качества воды </t>
  </si>
  <si>
    <t>руб/л</t>
  </si>
  <si>
    <t>м.пог.</t>
  </si>
  <si>
    <t>руб за м. пог.</t>
  </si>
  <si>
    <t>тыс. м. куб.</t>
  </si>
  <si>
    <t>руб за м. куб.</t>
  </si>
  <si>
    <t>руб за л.</t>
  </si>
  <si>
    <t>тыс. л</t>
  </si>
  <si>
    <t>тн</t>
  </si>
  <si>
    <t>руб за тн</t>
  </si>
  <si>
    <t>руб. за л</t>
  </si>
  <si>
    <t>м. пог</t>
  </si>
  <si>
    <t>тыс. м. куб</t>
  </si>
  <si>
    <t>руб за м. куб,</t>
  </si>
  <si>
    <t>руб. за тн</t>
  </si>
  <si>
    <t>Пояснительная записка по статьям "текущий ремонт" и "капитальный ремонт"</t>
  </si>
  <si>
    <t>Исполнитель           Шумская Ж.В.</t>
  </si>
  <si>
    <t xml:space="preserve">2) затраты на оплату труда по капитальному ремонту </t>
  </si>
  <si>
    <t>ТАБЛИЦА №1</t>
  </si>
  <si>
    <t>( Прилагаем ОСВ по 20,23,26 счету)</t>
  </si>
  <si>
    <t>необходимо провести корректировку  в соответствии с Таблицей №1</t>
  </si>
  <si>
    <t>Прилагаем данные 1с Зарплата "Свод начислений по видам деятельности за 2013 год и 1 полугодие 2014 года"</t>
  </si>
  <si>
    <t>Всего сырье и материалы без реагентов</t>
  </si>
  <si>
    <t>Цеховые и косвенные</t>
  </si>
  <si>
    <t>Недополученные доходы прошлых периодов регулирования (2013, 2014)</t>
  </si>
  <si>
    <t xml:space="preserve">Объем покупной теплоэнергии </t>
  </si>
  <si>
    <t>Тариф на водоотведение</t>
  </si>
  <si>
    <t>Проект   СГРЦиТ на 2015 год</t>
  </si>
  <si>
    <t>Проект Службы</t>
  </si>
  <si>
    <t>Проект СГРЦиТ на 2015 год</t>
  </si>
  <si>
    <t>Примечание</t>
  </si>
  <si>
    <t>по ожид</t>
  </si>
  <si>
    <t>тыс кВт-ч</t>
  </si>
  <si>
    <t>тыс. кВт-ч</t>
  </si>
  <si>
    <t>Примечание Службы</t>
  </si>
  <si>
    <t>СК, СД,Л</t>
  </si>
  <si>
    <t>2-ТП водхоз 2013</t>
  </si>
  <si>
    <t>Д</t>
  </si>
  <si>
    <t>Аренда оборудования (лизинг преобразователей частоты)</t>
  </si>
  <si>
    <t>Примечания Службы</t>
  </si>
  <si>
    <t>в адм</t>
  </si>
  <si>
    <t>экономически необоснованные доходы периода регулирования 2013 года:</t>
  </si>
  <si>
    <t>средства от невыполнения производственной программы в части расходования средств на текущий ремонт объектов водоснабжения</t>
  </si>
  <si>
    <t>средства от невыполнения производственной программы в части выполнения мероприятий капитального ремонта объектов водоснабжения</t>
  </si>
  <si>
    <t>10.</t>
  </si>
  <si>
    <t>10.1</t>
  </si>
  <si>
    <t>10.2</t>
  </si>
  <si>
    <t>Объём, тыс. м3</t>
  </si>
  <si>
    <t>средний по году</t>
  </si>
  <si>
    <t>рост, дек/дек,%</t>
  </si>
  <si>
    <t>тариф, руб./м3</t>
  </si>
  <si>
    <t>НВВ, тыс. руб.</t>
  </si>
  <si>
    <t>Тариф на водоснабжение</t>
  </si>
  <si>
    <t>Услуги "Симплекс", Почта России</t>
  </si>
  <si>
    <t>проценты по кредиту учтены выше</t>
  </si>
  <si>
    <t>Расходы на технологическое присоединение по инвестиционным объектам</t>
  </si>
  <si>
    <t>без внутрихоз.</t>
  </si>
  <si>
    <t xml:space="preserve"> </t>
  </si>
  <si>
    <t>ОДН</t>
  </si>
  <si>
    <t>Снято с тарифа:</t>
  </si>
  <si>
    <t>кап. ремонт за счёт амортизации</t>
  </si>
  <si>
    <t>Плата за негативное воздействие на ок. среду, учтённая в тарифе на 2013 год</t>
  </si>
  <si>
    <t>расходы на услуги коллекторских агентств за 2013 год</t>
  </si>
  <si>
    <t>Затраты на услуги "Симплекс" и Почты России за 2013</t>
  </si>
  <si>
    <t>Расходы на технологическое присоединение по инвестиционным объектам за 2013 год</t>
  </si>
  <si>
    <t>НВВ после снятия:</t>
  </si>
  <si>
    <t>экономически необоснованные расходы за период регулирования 2013 год:</t>
  </si>
  <si>
    <t>расходы на обслуживание КНС по ул. Шишкина и  канализационных сетей  в г. Калининграде по договору с ГКУ КО "Региональное отделение капитального строительства"</t>
  </si>
  <si>
    <t>средства от невыполнения производственной программы в части мероприятий капитального ремонта объектов водоснабжения</t>
  </si>
  <si>
    <t>Оргтехника и обслуживание офисного оборудования</t>
  </si>
  <si>
    <t>ВОДА</t>
  </si>
  <si>
    <t>экономически обоснованные расходы</t>
  </si>
  <si>
    <t xml:space="preserve">Истекший 2014 год </t>
  </si>
  <si>
    <t>Расшифровка кредитов и  займов по состоянию на 31.12.2014</t>
  </si>
  <si>
    <t>ОСБ №8626 Сбербанка России</t>
  </si>
  <si>
    <t xml:space="preserve">Кредитный договор 8626-1-104714 </t>
  </si>
  <si>
    <t>24 999 999 до 24.11.2017</t>
  </si>
  <si>
    <t>10552202,23 в дол.</t>
  </si>
  <si>
    <t>раз в год 18.08</t>
  </si>
  <si>
    <t>7447797,77 в дол.</t>
  </si>
  <si>
    <t>Счет</t>
  </si>
  <si>
    <t>Сальдо на начало периода</t>
  </si>
  <si>
    <t>Обороты за период</t>
  </si>
  <si>
    <t>Сальдо на конец периода</t>
  </si>
  <si>
    <t>Контрагенты</t>
  </si>
  <si>
    <t>Дебет</t>
  </si>
  <si>
    <t>Кредит</t>
  </si>
  <si>
    <t>Договоры</t>
  </si>
  <si>
    <t>67.01</t>
  </si>
  <si>
    <t>кред. дог. 07/15/60-13 от 26.12.13г.</t>
  </si>
  <si>
    <t>кред.дог. 07/15/34-14 от 15.08.14г.</t>
  </si>
  <si>
    <t>Морской банк</t>
  </si>
  <si>
    <t>кред. дог. 32-КД/12-КЮ от 17.12.2012</t>
  </si>
  <si>
    <t>кред. дог. 41-КД/11-КЮ от 28.12.2011</t>
  </si>
  <si>
    <t>Дог. 8626-1-104714 от 25.11.14г.</t>
  </si>
  <si>
    <t>67.02</t>
  </si>
  <si>
    <t>67.21</t>
  </si>
  <si>
    <t>Минфин России</t>
  </si>
  <si>
    <t>кредитное соглашение</t>
  </si>
  <si>
    <t>кредитное соглашение(мир)</t>
  </si>
  <si>
    <t>67.22</t>
  </si>
  <si>
    <t>Оборотно-сальдовая ведомость по счету 67 за 2014 г.</t>
  </si>
  <si>
    <t>Сумма платежей в 2018году,        тыс. руб.</t>
  </si>
  <si>
    <t>Распределение пропорцилнально ФОТ</t>
  </si>
  <si>
    <t>Коммерческие услуги, обслуживание фонтанов и гидрантов, услуги техинспекции, музей, здравпункт</t>
  </si>
  <si>
    <t>численность, чел.</t>
  </si>
  <si>
    <t>факт 2014, в тыс. руб.</t>
  </si>
  <si>
    <t>в%</t>
  </si>
  <si>
    <t>Производственный  персонал</t>
  </si>
  <si>
    <t>Коммерческий отдел</t>
  </si>
  <si>
    <t>Техинспекция</t>
  </si>
  <si>
    <t>Здравпункт</t>
  </si>
  <si>
    <t>Музей</t>
  </si>
  <si>
    <t>Обслуживание фонтанов</t>
  </si>
  <si>
    <t>Обслуживание гидрантов</t>
  </si>
  <si>
    <t>Коммерческие услуги</t>
  </si>
  <si>
    <t>Основная деятельность,</t>
  </si>
  <si>
    <t>в т.ч.</t>
  </si>
  <si>
    <t xml:space="preserve">Водоснабжение </t>
  </si>
  <si>
    <t xml:space="preserve">Водоотведение </t>
  </si>
  <si>
    <t>Проект СГРЦиТ на 2016 год</t>
  </si>
  <si>
    <t>план  СГРЦиТ</t>
  </si>
  <si>
    <t>Истекший  2014 год</t>
  </si>
  <si>
    <t>Проект 2017год</t>
  </si>
  <si>
    <t>Проект 2018 год</t>
  </si>
  <si>
    <t>Расходы на уплату налогов ВОДОСНАБЖЕНИЕ</t>
  </si>
  <si>
    <t>68.01</t>
  </si>
  <si>
    <t>Налог (взносы): начислено / уплачено</t>
  </si>
  <si>
    <t>Налог (взносы): доначислено / уплачено (самостоятельно)</t>
  </si>
  <si>
    <t>68.02</t>
  </si>
  <si>
    <t>68.04</t>
  </si>
  <si>
    <t>68.04.1</t>
  </si>
  <si>
    <t>68.04.2</t>
  </si>
  <si>
    <t>68.07</t>
  </si>
  <si>
    <t>68.08</t>
  </si>
  <si>
    <t>68.10</t>
  </si>
  <si>
    <t>Пени: доначислено / уплачено (самостоятельно)</t>
  </si>
  <si>
    <t>Оборотно-сальдовая ведомость по счету 68 за 2014 г.</t>
  </si>
  <si>
    <t>Виды платежей в бюджет (фонды)</t>
  </si>
  <si>
    <t>Уровни бюджетов</t>
  </si>
  <si>
    <t>Налоги и сборы</t>
  </si>
  <si>
    <t>Федеральный бюджет</t>
  </si>
  <si>
    <t>Водный налог</t>
  </si>
  <si>
    <t>Госпошлина</t>
  </si>
  <si>
    <t>Местный бюджет</t>
  </si>
  <si>
    <t>Арендная плата по земле</t>
  </si>
  <si>
    <t>Арендная плата по земле ГО</t>
  </si>
  <si>
    <t>Оборотно-сальдовая ведомость по счету 68.10 за 2014 г.</t>
  </si>
  <si>
    <t xml:space="preserve">Министерство развития инфраструктуры </t>
  </si>
  <si>
    <t>Оборотно-сальдовая ведомость по счету 76.06 за 2014 г.</t>
  </si>
  <si>
    <t xml:space="preserve">Водный налог </t>
  </si>
  <si>
    <t>сверх установленного лимита</t>
  </si>
  <si>
    <t>Налог на имущество: начислено / уплачено</t>
  </si>
  <si>
    <t>Плата за пользование водными объектами</t>
  </si>
  <si>
    <t>Плата за пользованием водными объектами, в т.ч.</t>
  </si>
  <si>
    <t>Наименование налога</t>
  </si>
  <si>
    <t>ввод новых объектов, рост стоимости имущества</t>
  </si>
  <si>
    <t>ежегодный рост 1 %</t>
  </si>
  <si>
    <t>в соответствии с расчетами , поданными в Министерство инфраструктуры</t>
  </si>
  <si>
    <t>учтен ежегодный рост ставок налога</t>
  </si>
  <si>
    <t>ежегодный рост 5% на покупку нового транспорта</t>
  </si>
  <si>
    <t>Расходы на уплату налогов ВОДООТВЕДЕНИЕ</t>
  </si>
  <si>
    <t>Расходы на уплату процентов всего</t>
  </si>
  <si>
    <t>Расходы на уплату процентов ВОДОСНАБЖЕНИЕ</t>
  </si>
  <si>
    <t>Расходы на уплату процентов ВОДООТВЕДЕНИЕ</t>
  </si>
  <si>
    <t>Истекший год 2014 год,</t>
  </si>
  <si>
    <t>Истекший 2014</t>
  </si>
  <si>
    <t>план 2015 СГРЦиТ</t>
  </si>
  <si>
    <t>из табл</t>
  </si>
  <si>
    <t>Истекший год 2014</t>
  </si>
  <si>
    <t>новое</t>
  </si>
  <si>
    <t>факт. цена за 1 квартал 2015</t>
  </si>
  <si>
    <t>Расход (ед.изм),</t>
  </si>
  <si>
    <t>Прочие сырье и материалы  без реагентов, кап. и текущего ремонта</t>
  </si>
  <si>
    <t>ожидаемый 2015 год</t>
  </si>
  <si>
    <t>факт              2014 год</t>
  </si>
  <si>
    <t>Всего сырье, реагенты и материалы</t>
  </si>
  <si>
    <t>Проект                2016 год</t>
  </si>
  <si>
    <t>Проект 2018год</t>
  </si>
  <si>
    <t>не сделано ФОТ</t>
  </si>
  <si>
    <t>План МП "Водоканал" на 2015</t>
  </si>
  <si>
    <t>План МП "Водоканал" на 2016</t>
  </si>
  <si>
    <t>План МП "Водоканал" на 2017</t>
  </si>
  <si>
    <t>Факт 2014 года в руб. ( данные формы 22ЖКХ)</t>
  </si>
  <si>
    <t>Факт МП "Водоканал" за 2014 год</t>
  </si>
  <si>
    <t>Сбытовые расходы ( 2% от выручки по населению)</t>
  </si>
  <si>
    <t>2015 год</t>
  </si>
  <si>
    <t>ВСЕГО</t>
  </si>
  <si>
    <t>в том числе :</t>
  </si>
  <si>
    <t>электрогазосварщик</t>
  </si>
  <si>
    <t>1.1.4.</t>
  </si>
  <si>
    <t>машинист насосных установок</t>
  </si>
  <si>
    <t>водитель автомашин</t>
  </si>
  <si>
    <t>1.1.5.</t>
  </si>
  <si>
    <t>1.1.6.</t>
  </si>
  <si>
    <t>электромонтер по ремонту и обслуживанию оборудования</t>
  </si>
  <si>
    <t>1.1.7.</t>
  </si>
  <si>
    <t>1.1.8.</t>
  </si>
  <si>
    <t>машинист компресс. установок</t>
  </si>
  <si>
    <t>оператор хлорат. установок</t>
  </si>
  <si>
    <t>лаборант</t>
  </si>
  <si>
    <t>1.1.9.</t>
  </si>
  <si>
    <t>1.1.10.</t>
  </si>
  <si>
    <t>оператор на фильтрах</t>
  </si>
  <si>
    <t>контролер</t>
  </si>
  <si>
    <t>в том числе</t>
  </si>
  <si>
    <t>1.1.11.</t>
  </si>
  <si>
    <t>оператор очистных сооружений</t>
  </si>
  <si>
    <t>оператор на решетках</t>
  </si>
  <si>
    <t>элктрогазосварщик</t>
  </si>
  <si>
    <t>слесарь по ремонту и обслужива. авт. и трактор. техники</t>
  </si>
  <si>
    <t>слесарь по рем. насосн. устан.</t>
  </si>
  <si>
    <t>2.1.4.</t>
  </si>
  <si>
    <t>ИТОГО :</t>
  </si>
  <si>
    <t>ВСЕГО :</t>
  </si>
  <si>
    <t>слесарь АВР</t>
  </si>
  <si>
    <t>слесарь-ремонтник</t>
  </si>
  <si>
    <t>1.1.12.</t>
  </si>
  <si>
    <t>2.1.5.</t>
  </si>
  <si>
    <t>2.1.6.</t>
  </si>
  <si>
    <t>Кор. Счет</t>
  </si>
  <si>
    <t>Начальное сальдо</t>
  </si>
  <si>
    <t>Оборот</t>
  </si>
  <si>
    <t>Конечное сальдо</t>
  </si>
  <si>
    <t>Анализ счета 26 за 2014 г.</t>
  </si>
  <si>
    <t>Таблица распределения общехозяйственных затрат.</t>
  </si>
  <si>
    <t>Распределение</t>
  </si>
  <si>
    <t>По форме П-1  пропорционально ФОТ за 2014 год</t>
  </si>
  <si>
    <t>ФОТ тыс. руб. за 2014 год</t>
  </si>
  <si>
    <t xml:space="preserve">Регулируемая деятельность </t>
  </si>
  <si>
    <t>Прочая деятельность</t>
  </si>
  <si>
    <t>распределяем между ВС И ВО</t>
  </si>
  <si>
    <t>ожид.2015</t>
  </si>
  <si>
    <t>Общехозяйственные расходы тыс. руб.</t>
  </si>
  <si>
    <t>факт всего</t>
  </si>
  <si>
    <t>Административные расходы.предприятия. На регулируемую деятельность распределяем только 93 %  расходов и ФОТ АУП, который относится только на регулируемую деятельность ( без ОРПР, техинспекции)</t>
  </si>
  <si>
    <t>факт 2014  года на регулируемую деятельность (93%)</t>
  </si>
  <si>
    <t>МП КХ "Водоканал"</t>
  </si>
  <si>
    <t>Запчасти и расходные материалы для оргтехники ( не в управлении, по цехам)</t>
  </si>
  <si>
    <t>Ожидаемый 2015</t>
  </si>
  <si>
    <t>ожидаемый</t>
  </si>
  <si>
    <t>Проект СГРЦиТ 2016</t>
  </si>
  <si>
    <t>(56 к 34 %)</t>
  </si>
  <si>
    <t>распределение 56% на ВС и 34% на ВО по проекту Службы</t>
  </si>
  <si>
    <t>Оплата труда ( ФОТ в производственном)</t>
  </si>
  <si>
    <t>факт. цена за 1 ув.2015</t>
  </si>
  <si>
    <t>факт по 1 кв.2015</t>
  </si>
  <si>
    <t>Отношение суммы фактических  затрат за полный год 2013 к полугодию 2013</t>
  </si>
  <si>
    <t>Расходы на уплату налогов ВСЕГО</t>
  </si>
  <si>
    <t>Расходы на капитальный ремонт централизованных систем водоотведения либо объектов, входящих в состав таких систем ( БЕЗ ЗП И ЕСН)</t>
  </si>
  <si>
    <t xml:space="preserve">Расходы на охрану питьевых озер .     На основании Постановлений Правительства Российской Федерации от 14.08.1992 г. № 587 и от 2.11.2009 г. № 886 </t>
  </si>
  <si>
    <t>7.4.</t>
  </si>
  <si>
    <t xml:space="preserve">     На основании Постановлений Правительства Российской Федерации от 14.08.1992 г. № 587 и от 2.11.2009 г. № 886 -  гидротехнические сооружения, коллекторы водохранилищ, водопроводные станции и объекты водоподготовки в крупных промышленных центрах, в населенных пунктах краевого и областного подчинения, а также в закрытых административно-территориальных образованиях подлежат обязательной государственной охране</t>
  </si>
  <si>
    <t>Расходы на обязательную охрану  ФГУП "Охрана МВД России"</t>
  </si>
  <si>
    <t>ИТОГО без охраны</t>
  </si>
  <si>
    <t>сумма, в тыс. руб.</t>
  </si>
  <si>
    <t>ВВС</t>
  </si>
  <si>
    <t>ЮВС -2</t>
  </si>
  <si>
    <t xml:space="preserve"> с июня 2014</t>
  </si>
  <si>
    <t>с апреля 2015</t>
  </si>
  <si>
    <t>ЦВС</t>
  </si>
  <si>
    <t>с января 2016</t>
  </si>
  <si>
    <t>( Протоколы закупок и договора прилагаются)</t>
  </si>
  <si>
    <t xml:space="preserve">Начальник ФЭО </t>
  </si>
  <si>
    <t>Шумская Ж.В.</t>
  </si>
  <si>
    <t>Арендная плата ПРИЧАЛА, лизинговые платежи, не связанные с арендой (лизингом) централизованных систем водоснабжения и (или) водоотведения либо объектов, входящих в состав таких систем</t>
  </si>
  <si>
    <t>Проект  2018 год</t>
  </si>
  <si>
    <t>Недополученные  расходы 2014 года в в связи с сокращением нормативов</t>
  </si>
  <si>
    <r>
      <t>Расход (ед.изм)</t>
    </r>
    <r>
      <rPr>
        <i/>
        <sz val="8"/>
        <color theme="1"/>
        <rFont val="Calibri"/>
        <family val="2"/>
        <charset val="204"/>
        <scheme val="minor"/>
      </rPr>
      <t xml:space="preserve"> (ЮВС-2-178,9 тн, ВНС Моск.-31,367 тн)</t>
    </r>
  </si>
  <si>
    <r>
      <t xml:space="preserve">Сульфат алюминия </t>
    </r>
    <r>
      <rPr>
        <i/>
        <sz val="8"/>
        <color theme="1"/>
        <rFont val="Calibri"/>
        <family val="2"/>
        <charset val="204"/>
        <scheme val="minor"/>
      </rPr>
      <t>ЮВС-2</t>
    </r>
  </si>
  <si>
    <r>
      <t xml:space="preserve">РАХ-18, </t>
    </r>
    <r>
      <rPr>
        <b/>
        <i/>
        <sz val="8"/>
        <color theme="1"/>
        <rFont val="Calibri"/>
        <family val="2"/>
        <charset val="204"/>
        <scheme val="minor"/>
      </rPr>
      <t>ЦВС, ЮВС-2</t>
    </r>
  </si>
  <si>
    <r>
      <t xml:space="preserve">Расход (ед.изм) </t>
    </r>
    <r>
      <rPr>
        <i/>
        <sz val="8"/>
        <color theme="1"/>
        <rFont val="Calibri"/>
        <family val="2"/>
        <charset val="204"/>
        <scheme val="minor"/>
      </rPr>
      <t>ЮВС-2</t>
    </r>
  </si>
  <si>
    <r>
      <t xml:space="preserve">Флокулянт феннпол </t>
    </r>
    <r>
      <rPr>
        <b/>
        <sz val="8"/>
        <color theme="1"/>
        <rFont val="Calibri"/>
        <family val="2"/>
        <charset val="204"/>
        <scheme val="minor"/>
      </rPr>
      <t xml:space="preserve"> </t>
    </r>
    <r>
      <rPr>
        <b/>
        <i/>
        <sz val="8"/>
        <color theme="1"/>
        <rFont val="Calibri"/>
        <family val="2"/>
        <charset val="204"/>
        <scheme val="minor"/>
      </rPr>
      <t>ЮВС-2</t>
    </r>
  </si>
  <si>
    <r>
      <t>ГХА</t>
    </r>
    <r>
      <rPr>
        <b/>
        <i/>
        <sz val="8"/>
        <color theme="1"/>
        <rFont val="Calibri"/>
        <family val="2"/>
        <charset val="204"/>
        <scheme val="minor"/>
      </rPr>
      <t xml:space="preserve"> ЦВС, ЮВС-2</t>
    </r>
  </si>
  <si>
    <t>Контроль качества сточных вод ( анализы стор. орг., аттестация, поверка лабор. приборов изм., услуги стор. орг. по экологии)</t>
  </si>
  <si>
    <t>Расходы на охрану питьевых озер .     На основании Постановлений Правительства Российской Федерации от 14.08.1992 г. № 587 и от 2.11.2009 г. № 886  ТОЛЬКО НА ВС</t>
  </si>
  <si>
    <t>Расходы по охране объектов и территорий ООО Люцерна (  по результатам закупки) и  ФГУП Охрана-пульт, на ВС иВО</t>
  </si>
  <si>
    <t>Расходы на капитальный ремонт централизованных систем водоснабжения и , входящих в состав таких систем</t>
  </si>
  <si>
    <r>
      <t>План СГРЦиТ на 2015 год (</t>
    </r>
    <r>
      <rPr>
        <i/>
        <sz val="8"/>
        <color theme="1"/>
        <rFont val="Times New Roman"/>
        <family val="1"/>
        <charset val="204"/>
      </rPr>
      <t>2 % от выручки населению факт 2013 года)</t>
    </r>
  </si>
  <si>
    <t>Недополученные доходы прошлых периодов регулирования (2014) в связи с уменьшением нормативов потребления</t>
  </si>
  <si>
    <t>Недополученные доходы прошлых периодов регулирования  по сокращению нормативов потребления за 2014 год</t>
  </si>
  <si>
    <t xml:space="preserve">Очередной 2018 год </t>
  </si>
  <si>
    <t>не утверждена программа на 2015, данные по завершению программы 2011-2013 гг.</t>
  </si>
  <si>
    <t xml:space="preserve">Текущий 2015  год </t>
  </si>
  <si>
    <t>Прочие средства</t>
  </si>
  <si>
    <t>Данные бухгалтерского учета по материалам. ( Прилагаем ОСВ 20,23,26сч за 2014 год и 1 полугодие 2014)</t>
  </si>
  <si>
    <t>Начальник ФЭО                                                       Шумская Ж.В.</t>
  </si>
  <si>
    <t>Определение расходов на материалы ( без учетьа материалов на капитальный и текущий ремонт).</t>
  </si>
  <si>
    <t>Недополученный доход по объемам реализации в связи с сокращением нормативов потребления</t>
  </si>
  <si>
    <t>с 01.01.2016 по 30.06.2016</t>
  </si>
  <si>
    <t>с 01.07.2016 по 30.12.2016</t>
  </si>
  <si>
    <t>Статья затрат</t>
  </si>
  <si>
    <t>Расходы за год в тыс. руб.</t>
  </si>
  <si>
    <t>Материалы (реагенты)</t>
  </si>
  <si>
    <t>ФЗП</t>
  </si>
  <si>
    <t>Отчисления (30,2%)</t>
  </si>
  <si>
    <t>налог на имущество</t>
  </si>
  <si>
    <t>ИТОГО без амортизации</t>
  </si>
  <si>
    <t>ИТОГО с амортизацией</t>
  </si>
  <si>
    <t>Расходы на содержание очистных сооружений под нагрузкой</t>
  </si>
  <si>
    <t>Амортизация ( уже учтена в амортизации ОС)</t>
  </si>
  <si>
    <t>к-т1,045</t>
  </si>
  <si>
    <t>к-т 1,043</t>
  </si>
  <si>
    <t>к  плану СГРЦиТ</t>
  </si>
  <si>
    <t>к плану СГРЦиТ</t>
  </si>
  <si>
    <r>
      <t xml:space="preserve">Истекший  год                                                                        </t>
    </r>
    <r>
      <rPr>
        <sz val="12"/>
        <color indexed="12"/>
        <rFont val="Times New Roman"/>
        <family val="1"/>
        <charset val="204"/>
      </rPr>
      <t xml:space="preserve"> 2013</t>
    </r>
  </si>
  <si>
    <r>
      <t xml:space="preserve">Истекший  год                                                                        </t>
    </r>
    <r>
      <rPr>
        <sz val="12"/>
        <color indexed="12"/>
        <rFont val="Times New Roman"/>
        <family val="1"/>
        <charset val="204"/>
      </rPr>
      <t xml:space="preserve"> 2014</t>
    </r>
  </si>
  <si>
    <r>
      <t xml:space="preserve">Текущий  год                                                                         </t>
    </r>
    <r>
      <rPr>
        <sz val="12"/>
        <color indexed="12"/>
        <rFont val="Times New Roman"/>
        <family val="1"/>
        <charset val="204"/>
      </rPr>
      <t>2015</t>
    </r>
  </si>
  <si>
    <r>
      <t xml:space="preserve">план </t>
    </r>
    <r>
      <rPr>
        <sz val="6"/>
        <color indexed="36"/>
        <rFont val="Times New Roman"/>
        <family val="1"/>
        <charset val="204"/>
      </rPr>
      <t>(утв.СГРЦиТ)</t>
    </r>
  </si>
  <si>
    <r>
      <t xml:space="preserve">план </t>
    </r>
    <r>
      <rPr>
        <sz val="8"/>
        <color indexed="8"/>
        <rFont val="Times New Roman"/>
        <family val="1"/>
        <charset val="204"/>
      </rPr>
      <t>(утв.СГРЦиТ)</t>
    </r>
  </si>
  <si>
    <t>ПОДЪЕМ</t>
  </si>
  <si>
    <t>ОЧИСТКА</t>
  </si>
  <si>
    <t>С.Н. станций</t>
  </si>
  <si>
    <t xml:space="preserve"> - </t>
  </si>
  <si>
    <t>Объем питьевой воды, поданной в сеть (с покупной водой)</t>
  </si>
  <si>
    <t>ПОДАЧА С ПОКУПНОЙ</t>
  </si>
  <si>
    <r>
      <t xml:space="preserve">Объем питьевой воды, поданной в сеть </t>
    </r>
    <r>
      <rPr>
        <sz val="12"/>
        <color indexed="12"/>
        <rFont val="Times New Roman"/>
        <family val="1"/>
        <charset val="204"/>
      </rPr>
      <t>(после водоподготовки)</t>
    </r>
  </si>
  <si>
    <t>подача собственная</t>
  </si>
  <si>
    <t>ПОДАЧА (с покупной)</t>
  </si>
  <si>
    <t>потери и НРВ без технол.расхода</t>
  </si>
  <si>
    <t>Потери и НРВ (%)</t>
  </si>
  <si>
    <t>технол.расход после подачи</t>
  </si>
  <si>
    <t>реализация</t>
  </si>
  <si>
    <t>?</t>
  </si>
  <si>
    <r>
      <t> </t>
    </r>
    <r>
      <rPr>
        <sz val="12"/>
        <rFont val="Times New Roman"/>
        <family val="1"/>
        <charset val="204"/>
      </rPr>
      <t>тыс. куб. м</t>
    </r>
  </si>
  <si>
    <t>Итого трансопртировка стоков</t>
  </si>
  <si>
    <t>Часть цеховых, отнесенную на регулируемую деятельность,</t>
  </si>
  <si>
    <t>Ливневые стоки</t>
  </si>
  <si>
    <t>Объем водоотведения, в т.ч</t>
  </si>
  <si>
    <t>Реализация</t>
  </si>
  <si>
    <t>тариф с НДС</t>
  </si>
  <si>
    <t>ожидаемый 2015 (Сентябрь)</t>
  </si>
  <si>
    <t>факт 6 месяцев 2015</t>
  </si>
  <si>
    <t>ожидаемый 2015 (СЕНТЯБРЬ)</t>
  </si>
  <si>
    <t>ВАРИАНТ МАЙ 2015</t>
  </si>
  <si>
    <t>ВАРИАНТ СЕНТЯБРЬ 2015</t>
  </si>
  <si>
    <t>Сумма платежей за 6 месяцев 2015 года,        тыс. руб.</t>
  </si>
  <si>
    <t>Ожидаемая Сумма платежей в 2015году,        тыс. руб.</t>
  </si>
  <si>
    <t>Оборотно-сальдовая ведомость по счету 67 за 1 полугодие 2015 г.</t>
  </si>
  <si>
    <t>Б. Москва Кредитный договор № 07/15/34-14</t>
  </si>
  <si>
    <t>Б. Москва Кредитный договор № 07/15/60-13</t>
  </si>
  <si>
    <t>ВТБ</t>
  </si>
  <si>
    <t>Кредитный договор 10/15 от 21.07.2015</t>
  </si>
  <si>
    <t>Распределение пропорцилнально ФОТ (СЕНТЯБРЬ )</t>
  </si>
  <si>
    <t>Факт 6 месяцев 2015</t>
  </si>
  <si>
    <t>ожидаемы год 2015 (весрия СЕНТЯБРЬ)</t>
  </si>
  <si>
    <t>7а</t>
  </si>
  <si>
    <t>7б</t>
  </si>
  <si>
    <t>ожидаемый год 2015 (весрия СЕНТЯБРЬ)</t>
  </si>
  <si>
    <t>Итого  очистка стоков</t>
  </si>
  <si>
    <t>факт 6 месяцев  2015 год</t>
  </si>
  <si>
    <t>ожидаемый 2015 год (версия СЕНТЯБРЬ)</t>
  </si>
  <si>
    <t>запчасти, лакокрасочные</t>
  </si>
  <si>
    <t>канцеларские, типографские товары</t>
  </si>
  <si>
    <t>материалы, производственный инвентарь</t>
  </si>
  <si>
    <t>Прочие сырье и материалы  без реагентов, кап. и текущего ремонта, в т.ч. (прилалаем ОСВ 20,23 счета)</t>
  </si>
  <si>
    <t>материалы на хоз. нужды</t>
  </si>
  <si>
    <t>Всего сырье,  без реагентов и материалов</t>
  </si>
  <si>
    <t xml:space="preserve">Всего сырье и материалы </t>
  </si>
  <si>
    <t>версия май 2015</t>
  </si>
  <si>
    <t>Факт 6 месяцев 2015 ,        тыс. руб.</t>
  </si>
  <si>
    <t>Ожидаемый год 2015</t>
  </si>
  <si>
    <t>версия СЕНТЯБРЬ 2015</t>
  </si>
  <si>
    <t>Текущий год 2015 (версия май)</t>
  </si>
  <si>
    <t>Текущий год 2015 (версия СЕНТЯБРЬ)</t>
  </si>
  <si>
    <t>ожидаемый год (версия сентябрь 2015)</t>
  </si>
  <si>
    <t>ожид. (версия МАЙ 2015)</t>
  </si>
  <si>
    <t>Услуги по вневедомственной охране объектов и территорий (перенсено в строку "Услуги по охране)</t>
  </si>
  <si>
    <t>ФОТ АУП ( указываем здесь ФОТ 26 счета ( нет ком. отдела, техинспекции, музея, здравпункта, группы подключений, 17 чекел. лаборатории)</t>
  </si>
  <si>
    <t>Неподконтрольные расходы</t>
  </si>
  <si>
    <t>Истекший 2014 год</t>
  </si>
  <si>
    <t>Текущий 2015 год</t>
  </si>
  <si>
    <t>План предприятия ВКХ</t>
  </si>
  <si>
    <t>Проект СГРЦиТ</t>
  </si>
  <si>
    <t>Примечания</t>
  </si>
  <si>
    <t>Расходы на оплату товаров (услуг, работ), приобретаемых у других организаций</t>
  </si>
  <si>
    <t>Расходы на тепловую энергию</t>
  </si>
  <si>
    <t>Расходы на транспортировку воды</t>
  </si>
  <si>
    <t>Расходы на покупку воды</t>
  </si>
  <si>
    <t>Услуги по холодному водоснабжению</t>
  </si>
  <si>
    <t>Услуги по транспортировке холодной воды</t>
  </si>
  <si>
    <t>2.7</t>
  </si>
  <si>
    <t>2.8</t>
  </si>
  <si>
    <t>2.9</t>
  </si>
  <si>
    <t>2.10</t>
  </si>
  <si>
    <t>Земельный налог и арендная плата за землю</t>
  </si>
  <si>
    <t>Плата за пользование водным объектом</t>
  </si>
  <si>
    <t>3.8</t>
  </si>
  <si>
    <t>Прочие налоги и сборы</t>
  </si>
  <si>
    <t>Арендная и концессионная плата, лизинговые платежи</t>
  </si>
  <si>
    <t>Резерв по сомнительным долгам гарантирующей организации</t>
  </si>
  <si>
    <t>Экономия расходов</t>
  </si>
  <si>
    <t>Расходы на обслуживание бесхозяйных сетей</t>
  </si>
  <si>
    <t>Расходы на компенсацию экономически обоснованных расходов</t>
  </si>
  <si>
    <t>Займы и кредиты (для метода индексации)</t>
  </si>
  <si>
    <t>Возврат займов и кредитов</t>
  </si>
  <si>
    <t>Проценты по займам и кредитам</t>
  </si>
  <si>
    <t>ИТОГО:</t>
  </si>
  <si>
    <t>Операционные расходы</t>
  </si>
  <si>
    <t>Истекший 2014 г</t>
  </si>
  <si>
    <t>Текущий 2015 г</t>
  </si>
  <si>
    <t>Очередной 2016</t>
  </si>
  <si>
    <t>Производственные расходы:</t>
  </si>
  <si>
    <t>расходы на приобретение сырья и материалов и их хранение</t>
  </si>
  <si>
    <t>расходы на оплату регулируемыми организациями выполняемых сторонними организациями работ и услуг</t>
  </si>
  <si>
    <t>расходы на оплату труда и отчисления на социальные нужды основного производственного персонала, в том числе:</t>
  </si>
  <si>
    <t>1.1.3.1</t>
  </si>
  <si>
    <t xml:space="preserve">     налоги и сборы с фонда оплаты труда</t>
  </si>
  <si>
    <t>1.1.5</t>
  </si>
  <si>
    <t>общехозяйственные расходы</t>
  </si>
  <si>
    <t>1.1.6</t>
  </si>
  <si>
    <t>прочие производственные расходы:</t>
  </si>
  <si>
    <t>1.1.6.1</t>
  </si>
  <si>
    <t xml:space="preserve">       расходы на амортизацию автотранспорта</t>
  </si>
  <si>
    <t>1.1.6.2</t>
  </si>
  <si>
    <t xml:space="preserve">    расходы на обезвоживание, обезвреживание и захоронение осадка сточных вод</t>
  </si>
  <si>
    <t>1.1.6.3</t>
  </si>
  <si>
    <t xml:space="preserve">    расходы на приобретение (использование) вспомогательных материалов, запасных частей</t>
  </si>
  <si>
    <t>1.1.6.4</t>
  </si>
  <si>
    <t xml:space="preserve">     расходы на эксплуатацию, техническое обслуживание и ремонт автотранспорта</t>
  </si>
  <si>
    <t>1.1.6.5</t>
  </si>
  <si>
    <t xml:space="preserve">    расходы на осуществление производственного контроля качества воды и производственного контроля состава и свойств сточных вод</t>
  </si>
  <si>
    <t>1.1.6.6</t>
  </si>
  <si>
    <t>Сбытовые расходы гарантирующей организации</t>
  </si>
  <si>
    <t xml:space="preserve">    резерв по сомнительным долгам гарантирующей организации</t>
  </si>
  <si>
    <t>Расчёт тарифа на водоснабжение методом индексации</t>
  </si>
  <si>
    <t>Истекший 2013</t>
  </si>
  <si>
    <t>Текущий 2015</t>
  </si>
  <si>
    <t>Планирование предприятия ВКХ</t>
  </si>
  <si>
    <t>Долгосрочный проект СГРЦиТ</t>
  </si>
  <si>
    <t>Необходимая валовая выручка</t>
  </si>
  <si>
    <t>Текущие расходы</t>
  </si>
  <si>
    <t>1.1.1.1</t>
  </si>
  <si>
    <t>индекс эффективности расходов</t>
  </si>
  <si>
    <t>1.1.1.2</t>
  </si>
  <si>
    <t>индекс потребительских цен</t>
  </si>
  <si>
    <t>1.1.1.3</t>
  </si>
  <si>
    <t>индекс количества активов</t>
  </si>
  <si>
    <t>Расходы на электрическую энергию</t>
  </si>
  <si>
    <t>Неподконтрольные расходы, в том числе:</t>
  </si>
  <si>
    <t>возврат займов и кредитов</t>
  </si>
  <si>
    <t>1.1.3.2</t>
  </si>
  <si>
    <t>проценты по займам и кредитам</t>
  </si>
  <si>
    <t>Капитальные расходы</t>
  </si>
  <si>
    <t>Иные экономически обоснованные расходы на социальные нужды, в соответствии с пунктом 84 Методики</t>
  </si>
  <si>
    <t>1.3.3</t>
  </si>
  <si>
    <t>Норматив прибыли</t>
  </si>
  <si>
    <t>Корректировка НВВ</t>
  </si>
  <si>
    <t xml:space="preserve">Отклонение фактически достигнутого объёма поданной воды </t>
  </si>
  <si>
    <t xml:space="preserve">Отклонение фактических значений индекса потребительских цен и других индексов, предусмотренных прогнозом социально-экономического развития РФ </t>
  </si>
  <si>
    <t>Отклонение фактически достигнутого уровня неподконтрольных расходов</t>
  </si>
  <si>
    <t>Ввод объектов системы водоснабжения в эксплуатацию и изменение утверждённой инвестиционной программы</t>
  </si>
  <si>
    <t>Отклонение фактического значения целевых показателей деятельности организаций</t>
  </si>
  <si>
    <t>Изменение доходности долгосрочных государственных обязательств</t>
  </si>
  <si>
    <t>Итого НВВ для расчёта тарифа</t>
  </si>
  <si>
    <t xml:space="preserve">Тариф на водоснабжение </t>
  </si>
  <si>
    <t>руб/куб.м</t>
  </si>
  <si>
    <t xml:space="preserve">Объём водоснабжения </t>
  </si>
  <si>
    <t>млн куб. м</t>
  </si>
  <si>
    <t>Услуги по водоотведению</t>
  </si>
  <si>
    <t>Услуги по транспортировке сточных вод</t>
  </si>
  <si>
    <t>-</t>
  </si>
  <si>
    <t>Фактические расходы на текущий и капитальный ремонт.</t>
  </si>
  <si>
    <t>1. Капитальный ремонт.</t>
  </si>
  <si>
    <t>факт 6 месяцев 2015 года</t>
  </si>
  <si>
    <t>материалы</t>
  </si>
  <si>
    <t>услуги сторонних организаций</t>
  </si>
  <si>
    <t>субподряды</t>
  </si>
  <si>
    <t>Распределение :</t>
  </si>
  <si>
    <t>ЦЕХОВЫЕ</t>
  </si>
  <si>
    <t>2. Текущий ремонт.</t>
  </si>
  <si>
    <t>ИП Рзаев, обслуж.питьевых каналов</t>
  </si>
  <si>
    <t>ИП Рзаев, обслуж.канализ. каналов</t>
  </si>
  <si>
    <t>Диз. Топливо для ГВС</t>
  </si>
  <si>
    <t>46</t>
  </si>
  <si>
    <t>Техническое обслуживание лифтов</t>
  </si>
  <si>
    <t>Обслуживание газового оборудования</t>
  </si>
  <si>
    <t>Сумма амортизационных отчислений ( только на реулируемую деятельность)</t>
  </si>
  <si>
    <t>Итого налог на имущство с учетом новых объектов</t>
  </si>
  <si>
    <t>Налог на имущество по новым окрупным объектам  (в июле2015 на баланс МП КХ "Водокнал" полставлены сети на сумму 286 млн. + ввод новых объектов в 2016-2018</t>
  </si>
  <si>
    <t>ИТОГО : налог на имущество</t>
  </si>
  <si>
    <t xml:space="preserve">Налог на имущество организаций </t>
  </si>
  <si>
    <t>Налог на имущество по новым окрупным объектам  (в июле 2015 на баланс МП КХ "Водокнал" полставлены сети на сумму 133 млн. + ввод новых объектов в 2016-2018</t>
  </si>
  <si>
    <t>Налог на имущество по новым окрупным объектам  (в июле 2015 на баланс МП КХ "Водокнал" полставлены сети на сумму 141 млн. + ввод новых объектов в 2016-2018</t>
  </si>
  <si>
    <t xml:space="preserve">Главный бухгалтер </t>
  </si>
  <si>
    <t>Шокотько Т.Е.</t>
  </si>
  <si>
    <t>факт 6 мес.2015</t>
  </si>
  <si>
    <t>Текущий 2015 ( версия сентябрь 2015)</t>
  </si>
  <si>
    <t>6 мес.2015</t>
  </si>
  <si>
    <t>2015 ( версия сентябрь)</t>
  </si>
  <si>
    <t xml:space="preserve">Услуги по вневедомственной охране объектов и территорий ( перенесено в строку" Охрана" </t>
  </si>
  <si>
    <t>Ремонт  офисного оборудования</t>
  </si>
  <si>
    <t>Расходы по охране озер</t>
  </si>
  <si>
    <t>Газ в административном здании</t>
  </si>
  <si>
    <t>Теплоэнергия( в цехах и адм.здании)</t>
  </si>
  <si>
    <t>5.0</t>
  </si>
  <si>
    <t>Расходы на содержание очистных сооружений г. Калининграда после введения объектв в эксплуатацию</t>
  </si>
  <si>
    <t>с НДС</t>
  </si>
  <si>
    <t>Очередной 2017</t>
  </si>
  <si>
    <t>Очередной 2018</t>
  </si>
  <si>
    <t>факт 6 мес. 2015</t>
  </si>
  <si>
    <t>Ожидаемый год 2015 (версия сентябрь)</t>
  </si>
  <si>
    <t>Услуги по транспортировке стоков ( ранее было в строке 1.3)</t>
  </si>
  <si>
    <t>МП КХ "Водоканал" Водоснабжение</t>
  </si>
  <si>
    <t>МП КХ "Водоканал" Водоотведение</t>
  </si>
  <si>
    <t xml:space="preserve"> резерв по сомнительным долгам гарантирующей организации</t>
  </si>
  <si>
    <t>расходы на уплату процентов по займам и кредитам ( не считаем)</t>
  </si>
  <si>
    <t>Расходы по забалансовым объектам             ( налог на имущество, амортизация)</t>
  </si>
  <si>
    <t>Расходы по забалансовым объектам( амортизация и налог на имущество)</t>
  </si>
  <si>
    <t>Расходы по забалансовым объектам ( амортизация, налог на имущество)</t>
  </si>
  <si>
    <t>ожидаемый 2015</t>
  </si>
  <si>
    <t>ИТОГО без налога ( включено в проект тарифа)</t>
  </si>
  <si>
    <t>Всего расходов по смете</t>
  </si>
  <si>
    <t>Плата за негативное воздействие на водный объект ( не учитываем в проекте тарифа)</t>
  </si>
  <si>
    <t>Всего расходов в проекте тарифа</t>
  </si>
  <si>
    <t>период</t>
  </si>
  <si>
    <t>1.Расчет эксплуатационных затрта на содержание очистных сооружений после проведения пуско-наладки. (версия сентябрь 2015)</t>
  </si>
  <si>
    <t>2. Расходы на пусконаладку  ( включено в проект тарифа)</t>
  </si>
  <si>
    <t>Корректировка от 30.10.2015</t>
  </si>
  <si>
    <t>ЮВС -1</t>
  </si>
  <si>
    <t>с 30.10.2015</t>
  </si>
  <si>
    <r>
      <t>Амортизация основных средств и нематериальных активов, относимых к объектам централизованной системы водоснабжения (в т.ч.</t>
    </r>
    <r>
      <rPr>
        <b/>
        <sz val="12"/>
        <color theme="1"/>
        <rFont val="Calibri"/>
        <family val="2"/>
        <charset val="204"/>
        <scheme val="minor"/>
      </rPr>
      <t xml:space="preserve">  20 000 тыс. руб., направленных на ИП</t>
    </r>
    <r>
      <rPr>
        <sz val="12"/>
        <color theme="1"/>
        <rFont val="Calibri"/>
        <family val="2"/>
        <charset val="204"/>
        <scheme val="minor"/>
      </rPr>
      <t>)</t>
    </r>
  </si>
  <si>
    <t>Расчет операционных расходов в соответствии с п. 45  Методических указаний, утвержденных  Приказом  ФСТ России№1746-3 от 27.12.2013</t>
  </si>
  <si>
    <t>1).Расчет доли  операционных расходов на транспортировку воды</t>
  </si>
  <si>
    <t xml:space="preserve">Наименование  расходов </t>
  </si>
  <si>
    <r>
      <t xml:space="preserve">Базовый уровень операционных расходов </t>
    </r>
    <r>
      <rPr>
        <b/>
        <sz val="10"/>
        <color theme="1"/>
        <rFont val="Calibri"/>
        <family val="2"/>
        <charset val="204"/>
        <scheme val="minor"/>
      </rPr>
      <t>ВСЕГО</t>
    </r>
    <r>
      <rPr>
        <sz val="10"/>
        <color theme="1"/>
        <rFont val="Calibri"/>
        <family val="2"/>
        <scheme val="minor"/>
      </rPr>
      <t>, тыс. руб.</t>
    </r>
  </si>
  <si>
    <r>
      <t xml:space="preserve">Базовый уровень операционных расходов на </t>
    </r>
    <r>
      <rPr>
        <b/>
        <sz val="8"/>
        <color theme="1"/>
        <rFont val="Calibri"/>
        <family val="2"/>
        <charset val="204"/>
        <scheme val="minor"/>
      </rPr>
      <t>ТРАНСПОРТИРОВКУ ВОД</t>
    </r>
    <r>
      <rPr>
        <b/>
        <sz val="10"/>
        <color theme="1"/>
        <rFont val="Calibri"/>
        <family val="2"/>
        <charset val="204"/>
        <scheme val="minor"/>
      </rPr>
      <t>Ы</t>
    </r>
    <r>
      <rPr>
        <sz val="10"/>
        <color theme="1"/>
        <rFont val="Calibri"/>
        <family val="2"/>
        <scheme val="minor"/>
      </rPr>
      <t>, тыс. руб.</t>
    </r>
  </si>
  <si>
    <t>доля в %</t>
  </si>
  <si>
    <t>Расходы по оплате труда</t>
  </si>
  <si>
    <t>Отчисления на социальные нужды</t>
  </si>
  <si>
    <t>Покупная вода</t>
  </si>
  <si>
    <t>Текущий ремонт и ТО</t>
  </si>
  <si>
    <t>Прочие прямые расходы (ГСМ+ МЦ)</t>
  </si>
  <si>
    <t>Косвенные (прочие)  расходы</t>
  </si>
  <si>
    <t>Итого базовый уровень затрат</t>
  </si>
  <si>
    <t xml:space="preserve">Принимаем для расчетов  долю  операционных расходов по ВОДОСНАБЖЕНИЮ в размере </t>
  </si>
  <si>
    <t>1).Расчет доли  операционных расходов на транспортировку стоков</t>
  </si>
  <si>
    <t>Базовый уровень операционных расходов, тыс. руб.</t>
  </si>
  <si>
    <r>
      <t xml:space="preserve">Базовый уровень операционных расходов на ПЕРЕКАЧКУ </t>
    </r>
    <r>
      <rPr>
        <b/>
        <sz val="8"/>
        <color theme="1"/>
        <rFont val="Calibri"/>
        <family val="2"/>
        <charset val="204"/>
        <scheme val="minor"/>
      </rPr>
      <t xml:space="preserve"> СТОКОВ</t>
    </r>
    <r>
      <rPr>
        <sz val="10"/>
        <color theme="1"/>
        <rFont val="Calibri"/>
        <family val="2"/>
        <scheme val="minor"/>
      </rPr>
      <t>, тыс. руб.</t>
    </r>
  </si>
  <si>
    <t>Пуско-наладка  обсл. Очистных</t>
  </si>
  <si>
    <t xml:space="preserve">Принимаем для расчетов  долю  операционных расходов по ВОДООТВЕДЕНИЮ в размере </t>
  </si>
  <si>
    <t>Расчет индекса изменения количества активов.</t>
  </si>
  <si>
    <t xml:space="preserve">в соответствии с п.45 , формула (8.1)  Методических указаний </t>
  </si>
  <si>
    <t>по расчету регулируемых тарифов в сфере водоснабжения и водоотведения</t>
  </si>
  <si>
    <t>1) Определяем долю в % косвенных, прочих, цеховых затрат</t>
  </si>
  <si>
    <t>Фактические затраты за 2014 год</t>
  </si>
  <si>
    <t>РПВ</t>
  </si>
  <si>
    <t>РОВ</t>
  </si>
  <si>
    <t>РТВ</t>
  </si>
  <si>
    <t>РПС</t>
  </si>
  <si>
    <t>РОС</t>
  </si>
  <si>
    <t>РУО</t>
  </si>
  <si>
    <t>Итого общеэксплуатационные расходы</t>
  </si>
  <si>
    <t>Итого цеховые</t>
  </si>
  <si>
    <t>доля ВС</t>
  </si>
  <si>
    <t>доля ВО</t>
  </si>
  <si>
    <t>доля прочих</t>
  </si>
  <si>
    <t>Итого с/стоимость</t>
  </si>
  <si>
    <t>Материалы (хим реагенты)</t>
  </si>
  <si>
    <t>Аренда основного оборудования</t>
  </si>
  <si>
    <t>Затраты на оплату труда</t>
  </si>
  <si>
    <t>Услуги по транспортированию стоков, оказываемые сторонними организациями</t>
  </si>
  <si>
    <t>Услуги по очистке стоков и утилизации сточной жидкости, оказываемые сторонними организациями</t>
  </si>
  <si>
    <t>Услуги по утилизации осадка, оказываемые сторонними организациями</t>
  </si>
  <si>
    <t>Итого в/с и в/о</t>
  </si>
  <si>
    <t>Расходы по транспортировке воды</t>
  </si>
  <si>
    <t>Расходы по транспортировке (перекачке) стоков</t>
  </si>
  <si>
    <t>Распределение в % по видам расходов</t>
  </si>
  <si>
    <t>доля расходов  всего</t>
  </si>
  <si>
    <t>цеховые</t>
  </si>
  <si>
    <t>прочие прямые</t>
  </si>
  <si>
    <t>косвенные</t>
  </si>
  <si>
    <r>
      <t>Определяем индекс изменения количества активов (</t>
    </r>
    <r>
      <rPr>
        <b/>
        <sz val="11"/>
        <color theme="1"/>
        <rFont val="Calibri"/>
        <family val="2"/>
        <charset val="204"/>
        <scheme val="minor"/>
      </rPr>
      <t xml:space="preserve"> ВОДОСНАБЖЕНИЕ</t>
    </r>
    <r>
      <rPr>
        <sz val="11"/>
        <color theme="1"/>
        <rFont val="Calibri"/>
        <family val="2"/>
        <charset val="204"/>
        <scheme val="minor"/>
      </rPr>
      <t>)</t>
    </r>
  </si>
  <si>
    <t>ИКА</t>
  </si>
  <si>
    <t>=</t>
  </si>
  <si>
    <r>
      <t>0,75</t>
    </r>
    <r>
      <rPr>
        <b/>
        <sz val="11"/>
        <color theme="1"/>
        <rFont val="Calibri"/>
        <family val="2"/>
        <charset val="204"/>
        <scheme val="minor"/>
      </rPr>
      <t xml:space="preserve">х </t>
    </r>
  </si>
  <si>
    <r>
      <t xml:space="preserve">d </t>
    </r>
    <r>
      <rPr>
        <sz val="8"/>
        <color theme="1"/>
        <rFont val="Calibri"/>
        <family val="2"/>
        <charset val="204"/>
        <scheme val="minor"/>
      </rPr>
      <t>cеть</t>
    </r>
    <r>
      <rPr>
        <b/>
        <sz val="11"/>
        <color theme="1"/>
        <rFont val="Calibri"/>
        <family val="2"/>
        <charset val="204"/>
        <scheme val="minor"/>
      </rPr>
      <t xml:space="preserve"> х</t>
    </r>
  </si>
  <si>
    <r>
      <rPr>
        <sz val="8"/>
        <color theme="1"/>
        <rFont val="Calibri"/>
        <family val="2"/>
        <charset val="204"/>
        <scheme val="minor"/>
      </rPr>
      <t>дельта</t>
    </r>
    <r>
      <rPr>
        <sz val="11"/>
        <color theme="1"/>
        <rFont val="Calibri"/>
        <family val="2"/>
        <charset val="204"/>
        <scheme val="minor"/>
      </rPr>
      <t xml:space="preserve"> УМСi</t>
    </r>
    <r>
      <rPr>
        <sz val="8"/>
        <color theme="1"/>
        <rFont val="Calibri"/>
        <family val="2"/>
        <charset val="204"/>
        <scheme val="minor"/>
      </rPr>
      <t xml:space="preserve"> +</t>
    </r>
  </si>
  <si>
    <r>
      <rPr>
        <sz val="8"/>
        <color theme="1"/>
        <rFont val="Calibri"/>
        <family val="2"/>
        <charset val="204"/>
        <scheme val="minor"/>
      </rPr>
      <t>дельта</t>
    </r>
    <r>
      <rPr>
        <sz val="11"/>
        <color theme="1"/>
        <rFont val="Calibri"/>
        <family val="2"/>
        <charset val="204"/>
        <scheme val="minor"/>
      </rPr>
      <t xml:space="preserve"> ОР i</t>
    </r>
  </si>
  <si>
    <t>( формула 8.1)</t>
  </si>
  <si>
    <t>________________________</t>
  </si>
  <si>
    <t>OP i  x</t>
  </si>
  <si>
    <t>(1-ИЭР) х (1+ИПЦ i)</t>
  </si>
  <si>
    <t>Обозначение в формуле</t>
  </si>
  <si>
    <t>Расшифровка</t>
  </si>
  <si>
    <t>Значение</t>
  </si>
  <si>
    <t>d  сеть</t>
  </si>
  <si>
    <t>доля операционных расходов по транспортировке воды</t>
  </si>
  <si>
    <t>дельта УМС i</t>
  </si>
  <si>
    <t>изменение количества условных метров водопроводной сети</t>
  </si>
  <si>
    <t>изменение операционных расходов на водоподготовку, связанное с вводом в эксплуатацию нового объекта  водоподготовки в i году</t>
  </si>
  <si>
    <t>дополнительные затраты после введения МНС-2, в тыс. руб.</t>
  </si>
  <si>
    <t>электроэнергия</t>
  </si>
  <si>
    <t>реагенты</t>
  </si>
  <si>
    <t>ФОТ</t>
  </si>
  <si>
    <t>отчисления</t>
  </si>
  <si>
    <t>OP i</t>
  </si>
  <si>
    <t>операционные расходы</t>
  </si>
  <si>
    <t>0,75х</t>
  </si>
  <si>
    <t>х</t>
  </si>
  <si>
    <t>+</t>
  </si>
  <si>
    <t>( так как Службой значение  ИЭР принято равное 1, вторая составляющая коэф-та равна "0")</t>
  </si>
  <si>
    <r>
      <t>ИКА</t>
    </r>
    <r>
      <rPr>
        <b/>
        <sz val="8"/>
        <color theme="1"/>
        <rFont val="Calibri"/>
        <family val="2"/>
        <charset val="204"/>
        <scheme val="minor"/>
      </rPr>
      <t xml:space="preserve"> 2016</t>
    </r>
  </si>
  <si>
    <t>водоснабжение</t>
  </si>
  <si>
    <r>
      <t>Определяем индекс изменения количества активов (</t>
    </r>
    <r>
      <rPr>
        <b/>
        <sz val="11"/>
        <color theme="1"/>
        <rFont val="Calibri"/>
        <family val="2"/>
        <charset val="204"/>
        <scheme val="minor"/>
      </rPr>
      <t xml:space="preserve"> ВОДООТВЕДЕНИЕ</t>
    </r>
    <r>
      <rPr>
        <sz val="11"/>
        <color theme="1"/>
        <rFont val="Calibri"/>
        <family val="2"/>
        <charset val="204"/>
        <scheme val="minor"/>
      </rPr>
      <t>)</t>
    </r>
  </si>
  <si>
    <t>рассчет нв втором листе "Опер. расходы всего"</t>
  </si>
  <si>
    <t>дополнительные затраты по реконструкции КНС-1 и КНС-2 , в тыс. руб. ( в 2016 году только разрабатывается проектная документация)</t>
  </si>
  <si>
    <t>0,75*31*0,14</t>
  </si>
  <si>
    <t>водоотведение</t>
  </si>
  <si>
    <t>указаны в заявлении на долгосрочные параметры</t>
  </si>
  <si>
    <r>
      <t xml:space="preserve">План МП на очередной </t>
    </r>
    <r>
      <rPr>
        <sz val="12"/>
        <color indexed="12"/>
        <rFont val="Times New Roman"/>
        <family val="1"/>
        <charset val="204"/>
      </rPr>
      <t>2016 год</t>
    </r>
  </si>
  <si>
    <r>
      <t xml:space="preserve">План МП на </t>
    </r>
    <r>
      <rPr>
        <sz val="12"/>
        <color indexed="12"/>
        <rFont val="Times New Roman"/>
        <family val="1"/>
        <charset val="204"/>
      </rPr>
      <t>2017 год</t>
    </r>
  </si>
  <si>
    <r>
      <t xml:space="preserve">План МП на </t>
    </r>
    <r>
      <rPr>
        <sz val="12"/>
        <color indexed="12"/>
        <rFont val="Times New Roman"/>
        <family val="1"/>
        <charset val="204"/>
      </rPr>
      <t>2018 год</t>
    </r>
  </si>
  <si>
    <r>
      <t xml:space="preserve">Истекший год   </t>
    </r>
    <r>
      <rPr>
        <sz val="12"/>
        <color indexed="12"/>
        <rFont val="Times New Roman"/>
        <family val="1"/>
        <charset val="204"/>
      </rPr>
      <t>2012</t>
    </r>
  </si>
  <si>
    <t>к-т 1,026</t>
  </si>
  <si>
    <t>в административные</t>
  </si>
  <si>
    <t>в ремонте</t>
  </si>
  <si>
    <t>Поставщик          ОАО "Славянка"</t>
  </si>
  <si>
    <t>ОАО "Янтарьэнерго"</t>
  </si>
  <si>
    <t>ТЭЦ-8</t>
  </si>
  <si>
    <t>оборонэнерго</t>
  </si>
  <si>
    <t>ЗЭК</t>
  </si>
  <si>
    <t>ВСЕГО:</t>
  </si>
  <si>
    <t>факт 2014</t>
  </si>
  <si>
    <t>тыс.кВт.ч</t>
  </si>
  <si>
    <t>Гкал</t>
  </si>
  <si>
    <t>Тыс. руб</t>
  </si>
  <si>
    <t>Факт 2014</t>
  </si>
  <si>
    <t>эл.эн</t>
  </si>
  <si>
    <t>представить пояснение и расшифровки по суммам</t>
  </si>
  <si>
    <t>3889,59тыс.м3 - 2-ТП водхоз 2014</t>
  </si>
  <si>
    <t>3387,13тыс.м3 - 2-ТП водхоз 2013</t>
  </si>
  <si>
    <t>потери</t>
  </si>
  <si>
    <t>потери в сети</t>
  </si>
  <si>
    <t>без соб нужд</t>
  </si>
  <si>
    <t>подъём в 2-тп водхоз 2014</t>
  </si>
  <si>
    <t xml:space="preserve">ОДН: 2014 год -1388411 м3; 6 мес 2015 - 881032 м3 </t>
  </si>
  <si>
    <t>ОДН: июль-октябрь 2015 г. - 501870 м3</t>
  </si>
  <si>
    <t>Контроль качества воды (реактивы,расходные материалы, анализы, аттестация, лабораторное оборудование)</t>
  </si>
  <si>
    <t>ФАКТ</t>
  </si>
  <si>
    <t>ожидаемый 2015г</t>
  </si>
  <si>
    <t>Проект СГРЦиТ на 2017 год</t>
  </si>
  <si>
    <t>Проект СГРЦиТ на 2018 год</t>
  </si>
  <si>
    <t>средства от невыполнения производственной программы в части аренды имущества (лизинг преобразователей частоты)</t>
  </si>
  <si>
    <t xml:space="preserve"> 2016 год</t>
  </si>
  <si>
    <t xml:space="preserve"> 2017 год</t>
  </si>
  <si>
    <t>2018 год</t>
  </si>
  <si>
    <t>2016 год</t>
  </si>
  <si>
    <t>2017 год</t>
  </si>
  <si>
    <t xml:space="preserve"> 2018 год</t>
  </si>
  <si>
    <t>СЛУЖБА</t>
  </si>
  <si>
    <t>за счёт аморт</t>
  </si>
  <si>
    <t>проверить</t>
  </si>
  <si>
    <t>базовый 2016 год</t>
  </si>
  <si>
    <t>ВСЕГО 2016 год</t>
  </si>
  <si>
    <t>Поверка приборов, средств измерений</t>
  </si>
  <si>
    <t>в административных</t>
  </si>
  <si>
    <t>Охрана труда (спецодежда и обувь, молоко, горячее питание)</t>
  </si>
  <si>
    <t>Канцелярские и типографские товары</t>
  </si>
  <si>
    <t>Истекший год  2014</t>
  </si>
  <si>
    <t>Текущий год  2015</t>
  </si>
  <si>
    <t>Очередной                   год 2016</t>
  </si>
  <si>
    <r>
      <t>Очередной                   год 2017</t>
    </r>
    <r>
      <rPr>
        <sz val="11"/>
        <color indexed="8"/>
        <rFont val="Calibri"/>
        <family val="2"/>
        <charset val="204"/>
      </rPr>
      <t/>
    </r>
  </si>
  <si>
    <r>
      <t>Очередной                   год 2018</t>
    </r>
    <r>
      <rPr>
        <sz val="11"/>
        <color indexed="8"/>
        <rFont val="Calibri"/>
        <family val="2"/>
        <charset val="204"/>
      </rPr>
      <t/>
    </r>
  </si>
  <si>
    <r>
      <t xml:space="preserve">план     </t>
    </r>
    <r>
      <rPr>
        <sz val="10"/>
        <rFont val="Times New Roman"/>
        <family val="1"/>
        <charset val="204"/>
      </rPr>
      <t>(утв.СГРЦиТ)</t>
    </r>
  </si>
  <si>
    <t>от других абонентов (объем ливневых сточных вод ГО "город Калининград" )</t>
  </si>
  <si>
    <t>ОТВОД-РЕАЛИЗАЦИЯ</t>
  </si>
  <si>
    <t>Организованный приток (внутрихозяйственный оборот)</t>
  </si>
  <si>
    <t>ВХО: вода (с.н. станций-хозбыт) + кан. (пром.сетей ВО)</t>
  </si>
  <si>
    <t>всего внутрихозяйственный оборот по водоснабжению (расх.на с.н. станций)</t>
  </si>
  <si>
    <t>в т.ч. хозбыт станций</t>
  </si>
  <si>
    <t>из всего ВХО по водосн. промвыпуски станций (7,9,10)</t>
  </si>
  <si>
    <t>ВХО по водоотв.: промывка сетей водоотведения</t>
  </si>
  <si>
    <t>неучт.приток-орг.неучт.приток</t>
  </si>
  <si>
    <t>отвод-промстоки станций</t>
  </si>
  <si>
    <t>сумма всех выпусков предприятия+стороннее водоотведение+вып.Борисово по договору</t>
  </si>
  <si>
    <t>транспортировка -  др.орг. -   ав.вып.</t>
  </si>
  <si>
    <t>все что поступило на ОС, прошло через очистку</t>
  </si>
  <si>
    <t>Темп изменения объема отводимых сточных вод (прошедших очистку)</t>
  </si>
  <si>
    <t>в прочих производств</t>
  </si>
  <si>
    <t>в прочих производст</t>
  </si>
  <si>
    <t>учтено два раза (ниже)</t>
  </si>
  <si>
    <t>Аренда причала ( плата, лизинговые платежи, не связанные с арендой (лизингом) централизованных систем водоснабжения и (или) водоотведения либо объектов, входящих в состав таких систем)</t>
  </si>
  <si>
    <t>Почтовые расходы, подписка</t>
  </si>
  <si>
    <t>Охрана труда (спеодежда, спецобувь, молоко, горячее питание)</t>
  </si>
  <si>
    <t xml:space="preserve"> Так разносить нельзя (в амортизации)</t>
  </si>
  <si>
    <t>Транспортно-экспедиционные расходы</t>
  </si>
  <si>
    <t>транспортно-экспедиционные расходы</t>
  </si>
  <si>
    <t>отнесено на прямые произв расходы</t>
  </si>
  <si>
    <t>3.7.4</t>
  </si>
  <si>
    <t>3.7.5</t>
  </si>
  <si>
    <t>Ремонт офисного оборудования</t>
  </si>
  <si>
    <t xml:space="preserve">Амортизация основных средств и нематериальных активов, относимых к объектам централизованной системы водоснабжения  </t>
  </si>
  <si>
    <t>Услуги банка</t>
  </si>
  <si>
    <t>3.1.8</t>
  </si>
  <si>
    <t>Данные МП КХ "Водоканал" г. Калининграда</t>
  </si>
  <si>
    <t>расходы на уплату процентов по займам и кредитам ( не считаю, отнесла в неподконтрольные расходы)</t>
  </si>
  <si>
    <t>неподконтрольные</t>
  </si>
  <si>
    <t>общехозяйственные (цеховые) расходы</t>
  </si>
  <si>
    <t xml:space="preserve">    расходы на осуществление производственного контроля качества воды </t>
  </si>
  <si>
    <t>План предприятия МП КХ "Водоканал"</t>
  </si>
  <si>
    <t>расходы на оплату  выполняемых сторонними организациями работ и услуг (приобретение топлива)</t>
  </si>
  <si>
    <t>Расходы на приобретение топлива</t>
  </si>
  <si>
    <t>отнесено к операционным</t>
  </si>
  <si>
    <t>Снятие с тарифа затрат за 2014 г по лизингу</t>
  </si>
  <si>
    <t>ед. измер.</t>
  </si>
  <si>
    <t>с 01 января по 30 июня</t>
  </si>
  <si>
    <t>с 01 июля по 31 декабря</t>
  </si>
  <si>
    <t>Объём</t>
  </si>
  <si>
    <t>тыс. куб.м</t>
  </si>
  <si>
    <t>тариф</t>
  </si>
  <si>
    <t>НВВ</t>
  </si>
  <si>
    <t>Рост тарифа, %</t>
  </si>
  <si>
    <t>в ремонтах</t>
  </si>
  <si>
    <t>необоснованно полученная выручка от невыполнения капитального ремонта в 2014 году</t>
  </si>
  <si>
    <t>с учётом факта 2014 и 2013 г (84,75тн)</t>
  </si>
  <si>
    <t>с учётом факта 2014 и 2013 г (12,1тыс. м3)</t>
  </si>
  <si>
    <t>Долгосрочные тарифы СГРЦиТ</t>
  </si>
  <si>
    <t xml:space="preserve">с учётом факта ОАО </t>
  </si>
  <si>
    <t>ОАО "Славянка" (АО "ГУ ЖКХ")</t>
  </si>
  <si>
    <t>в амортизации</t>
  </si>
  <si>
    <t>Расходы по охране труда (спецодежда, спецобувь, молоко, горячее питание)</t>
  </si>
  <si>
    <t>Стоимость газа на отопление</t>
  </si>
  <si>
    <t>Транспортно-экспедиционные услуги</t>
  </si>
  <si>
    <t>Стоимость газа на отопление администрат. здания</t>
  </si>
  <si>
    <t>с учётом факта</t>
  </si>
  <si>
    <t>Долгосрочный проект Службы</t>
  </si>
  <si>
    <t>Проект СГРЦиТ на базовый 2016 год</t>
  </si>
  <si>
    <t>в неподконтрольных</t>
  </si>
  <si>
    <t>расходы на охрану труда (спецодежда, спецобувь, молоко, горячее питание)</t>
  </si>
  <si>
    <t>Расходы на топливо</t>
  </si>
  <si>
    <t>2.12</t>
  </si>
  <si>
    <t>Услуги сторонних организаций по пусконаладке очистных сооружений под нагрузкой</t>
  </si>
  <si>
    <t xml:space="preserve">Объём водоотведения </t>
  </si>
  <si>
    <t xml:space="preserve"> за счёт амортизации</t>
  </si>
  <si>
    <t>Эксплуатация ОС под нагрузкой</t>
  </si>
  <si>
    <t>Расчёт тарифа на водоотведение методом индексации</t>
  </si>
  <si>
    <t>Снятие с НВВ за невыполненные работы по капитальному ремонту в 2014 году</t>
  </si>
  <si>
    <t>по ожидаемому</t>
  </si>
  <si>
    <r>
      <t xml:space="preserve">Текущий  год  </t>
    </r>
    <r>
      <rPr>
        <sz val="12"/>
        <color theme="1"/>
        <rFont val="Times New Roman"/>
        <family val="1"/>
        <charset val="204"/>
      </rPr>
      <t>2015</t>
    </r>
  </si>
  <si>
    <r>
      <t xml:space="preserve">План МП КХ на очередной </t>
    </r>
    <r>
      <rPr>
        <sz val="12"/>
        <color theme="1"/>
        <rFont val="Times New Roman"/>
        <family val="1"/>
        <charset val="204"/>
      </rPr>
      <t>2016 год</t>
    </r>
  </si>
  <si>
    <r>
      <t>План МП КХ на</t>
    </r>
    <r>
      <rPr>
        <sz val="12"/>
        <color theme="1"/>
        <rFont val="Times New Roman"/>
        <family val="1"/>
        <charset val="204"/>
      </rPr>
      <t xml:space="preserve"> 2017 год</t>
    </r>
  </si>
  <si>
    <r>
      <t xml:space="preserve">План МП КХ на </t>
    </r>
    <r>
      <rPr>
        <sz val="12"/>
        <color theme="1"/>
        <rFont val="Times New Roman"/>
        <family val="1"/>
        <charset val="204"/>
      </rPr>
      <t>2018 год</t>
    </r>
  </si>
  <si>
    <t xml:space="preserve">Примечание </t>
  </si>
  <si>
    <t>среднее за 3 предыдущих года</t>
  </si>
  <si>
    <t xml:space="preserve">среднее за 3 года </t>
  </si>
  <si>
    <r>
      <t xml:space="preserve">Объем питьевой воды, поданной в сеть </t>
    </r>
    <r>
      <rPr>
        <sz val="12"/>
        <color theme="1"/>
        <rFont val="Times New Roman"/>
        <family val="1"/>
        <charset val="204"/>
      </rPr>
      <t>(после водоподготовки)</t>
    </r>
  </si>
  <si>
    <t>1.1 Расходы на сырье и материалы по водоотведению</t>
  </si>
  <si>
    <t>административные</t>
  </si>
  <si>
    <t>ремонт</t>
  </si>
  <si>
    <t>1.2.1 Расходы на приобретение электрической энергии на водоотведение</t>
  </si>
  <si>
    <t>ожидаемое год 2015 (версия СЕНТЯБРЬ)</t>
  </si>
  <si>
    <t>с учётом факта 2013-2014 гг</t>
  </si>
  <si>
    <t>1.2.2 Расходы на приобретение тепловой энергии на водоотведение</t>
  </si>
  <si>
    <t>1.2.4 Расходы на приобретение топлива для участка водоотведения</t>
  </si>
  <si>
    <t>1.3 Расходы на оплату работ и услуг, выполняемых сторонними организациями и индивидуальными предпринимателями, связанные с эксплуатацией централизованных систем водоотведения, либо объектов в составе таких систем</t>
  </si>
  <si>
    <t>1.5. Расходы на уплату процентов по займам и кредитам по участку водоотведения</t>
  </si>
  <si>
    <t>1.7. Прочие производственные расходы по водоотведению</t>
  </si>
  <si>
    <t>2. Ремонтные расходы по водоотведению</t>
  </si>
  <si>
    <t>5. Амортизация по водоотведению</t>
  </si>
  <si>
    <t>7. Расходы связанные с уплатой налогов и сборов по водоотведению</t>
  </si>
  <si>
    <t>9. Недополученные доходы расходы прошлых периодов по водоотведению</t>
  </si>
  <si>
    <t>перенесены на водоснабжение</t>
  </si>
  <si>
    <t>Операционные расходы по водоотведению</t>
  </si>
  <si>
    <t>Неподконтрольные расходы по водоотведению</t>
  </si>
  <si>
    <t>1.1 Расходы на сырье и материалы по водоснабжению</t>
  </si>
  <si>
    <t>1.2.1  Расходы на приобретение электрической энергии на водоснабжение</t>
  </si>
  <si>
    <t>1.2.2 Расходы на приобретение тепловой энергии на водоснабжение</t>
  </si>
  <si>
    <t>1.2.4 Расходы на приобретение топлива на водоснабжение</t>
  </si>
  <si>
    <t>5. Амортизация по водоснабжению</t>
  </si>
  <si>
    <t>в амортизац</t>
  </si>
  <si>
    <t>данные Службы</t>
  </si>
  <si>
    <t>Анализ</t>
  </si>
  <si>
    <t>Проект МП КХ "Водокнаал"  2016 год</t>
  </si>
  <si>
    <t>Проект СЛУЖБЫ 2016 год</t>
  </si>
  <si>
    <t>Служба не утвердила в полном объеме (разница между заявкой Водоканала и проектом Службы)</t>
  </si>
  <si>
    <t>красным выделены основные статьи</t>
  </si>
  <si>
    <t>Проект Службы 2016 к факту 2014 (рост в %)</t>
  </si>
  <si>
    <t>Проект Службы 2016 к ожидаемому 2015 (рост в %)</t>
  </si>
  <si>
    <t>расход гипохлорита учтен Службой на уровне факта 2015, плановыйрасход Водоканала больше</t>
  </si>
  <si>
    <t>расходы по электроэнергии на уровне ожидаемого 2015</t>
  </si>
  <si>
    <t>услуги ГУ ЖКХ ( вместо Славянки) по трансопртировке воды включены в тариф</t>
  </si>
  <si>
    <t>немного снижены проценты</t>
  </si>
  <si>
    <t>учтено в общей строке "Амортизация"</t>
  </si>
  <si>
    <t>частично за счет прибыли и амортизации</t>
  </si>
  <si>
    <t>Служба проиндексировала факт 2014</t>
  </si>
  <si>
    <t>не совпадают расшифровки по статьям</t>
  </si>
  <si>
    <t>несколько меньше сбытовые расходы</t>
  </si>
  <si>
    <t>налог на имущество  меньше плана Водокнала</t>
  </si>
  <si>
    <t>себестоимость утверждена меньше</t>
  </si>
  <si>
    <t>прибыль меньше</t>
  </si>
  <si>
    <t>НВВ без учета снятых сумм по невыполненному капитальному ремонту</t>
  </si>
  <si>
    <t>экономически необоснованные доходы периода регулирования 2015 года:</t>
  </si>
  <si>
    <t>экономически необоснованные расходы за период регулирования 2014 год:</t>
  </si>
  <si>
    <t>лизинг преобразователя частоты</t>
  </si>
  <si>
    <t>НВВ  с учетом снятых сумм по невыполненному капитальному ремонту</t>
  </si>
  <si>
    <t>рост тарифа</t>
  </si>
  <si>
    <t>с июля</t>
  </si>
  <si>
    <t>средний</t>
  </si>
  <si>
    <t>к ожид.2015</t>
  </si>
  <si>
    <r>
      <t xml:space="preserve">Расходы на оплату работ и услуг, выполняемых сторонними организациями и индивидуальными предпринимателями, связанные с эксплуатацией централизованных систем, либо объектов в составе таких систем, </t>
    </r>
    <r>
      <rPr>
        <sz val="8"/>
        <color theme="1"/>
        <rFont val="Calibri"/>
        <family val="2"/>
        <charset val="204"/>
        <scheme val="minor"/>
      </rPr>
      <t>8349,94 на УК ЖК</t>
    </r>
  </si>
  <si>
    <t>в том числе на пуско-наладку 107 млн. вместо 149,5</t>
  </si>
  <si>
    <t>не утвердила расходы , объект не введен</t>
  </si>
  <si>
    <t>включено в общую строку "Амортизация"</t>
  </si>
  <si>
    <t>Охрана труда ( спецодежда, молоко., гор. Питание)</t>
  </si>
  <si>
    <t>Управленческие услуги ( трансопртно-эксп)</t>
  </si>
  <si>
    <t>Оргтехника и обслуживание офисного оборудования, почтовые расходы</t>
  </si>
  <si>
    <t>учтено в другой статье</t>
  </si>
  <si>
    <r>
      <t>Амортизация основных средств и нематериальных активов, относимых к объектам централизованной системы водоснабжения (в т.ч.  20 000 тыс. руб., направленных на ИП</t>
    </r>
    <r>
      <rPr>
        <sz val="8"/>
        <color theme="1"/>
        <rFont val="Calibri"/>
        <family val="2"/>
        <charset val="204"/>
        <scheme val="minor"/>
      </rPr>
      <t>)</t>
    </r>
  </si>
  <si>
    <t>не учтены</t>
  </si>
  <si>
    <t>Расходы по невыполенномму кап. и тек. ремонту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</si>
</sst>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р_._-;\-* #,##0.00_р_._-;_-* &quot;-&quot;??_р_._-;_-@_-"/>
    <numFmt numFmtId="164" formatCode="0.000"/>
    <numFmt numFmtId="165" formatCode="0.00000"/>
    <numFmt numFmtId="166" formatCode="#,##0_р_."/>
    <numFmt numFmtId="167" formatCode="#,##0.000"/>
    <numFmt numFmtId="168" formatCode="#,##0.0"/>
    <numFmt numFmtId="169" formatCode="0.0%"/>
    <numFmt numFmtId="170" formatCode="_-* #,##0_-;\-* #,##0_-;_-* \-??_-;_-@_-"/>
    <numFmt numFmtId="171" formatCode="_-* #,##0.00\ _€_-;\-* #,##0.00\ _€_-;_-* \-??\ _€_-;_-@_-"/>
    <numFmt numFmtId="172" formatCode="_-* #,##0.000_р_._-;\-* #,##0.000_р_._-;_-* &quot;-&quot;??_р_._-;_-@_-"/>
    <numFmt numFmtId="173" formatCode="#,##0.00_ ;\-#,##0.00\ "/>
    <numFmt numFmtId="174" formatCode="_-* #,##0.0_р_._-;\-* #,##0.0_р_._-;_-* &quot;-&quot;??_р_._-;_-@_-"/>
    <numFmt numFmtId="175" formatCode="0.0"/>
    <numFmt numFmtId="176" formatCode="00"/>
    <numFmt numFmtId="177" formatCode="#,##0_ ;\-#,##0\ "/>
    <numFmt numFmtId="178" formatCode="#,##0.0_р_."/>
    <numFmt numFmtId="179" formatCode="0.000000"/>
    <numFmt numFmtId="180" formatCode="_-* #,##0.0_р_._-;\-* #,##0.0_р_._-;_-* &quot;-&quot;?_р_._-;_-@_-"/>
    <numFmt numFmtId="181" formatCode="0.0000"/>
  </numFmts>
  <fonts count="12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u/>
      <sz val="11"/>
      <color rgb="FFFF0000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i/>
      <u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0" tint="-0.499984740745262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1"/>
      <color rgb="FF0000FF"/>
      <name val="Calibri"/>
      <family val="2"/>
      <charset val="204"/>
      <scheme val="minor"/>
    </font>
    <font>
      <sz val="9"/>
      <color rgb="FF0000FF"/>
      <name val="Times New Roman"/>
      <family val="1"/>
      <charset val="204"/>
    </font>
    <font>
      <sz val="11"/>
      <color theme="9" tint="-0.49998474074526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66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10"/>
      <name val="Arial MT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2"/>
      <charset val="204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0"/>
      <color indexed="21"/>
      <name val="Arial"/>
      <family val="2"/>
    </font>
    <font>
      <sz val="9"/>
      <color indexed="21"/>
      <name val="Arial"/>
      <family val="2"/>
    </font>
    <font>
      <b/>
      <sz val="10"/>
      <color indexed="21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0"/>
      <color indexed="21"/>
      <name val="Arial"/>
      <family val="2"/>
      <charset val="204"/>
    </font>
    <font>
      <b/>
      <i/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sz val="6"/>
      <color indexed="36"/>
      <name val="Times New Roman"/>
      <family val="1"/>
      <charset val="204"/>
    </font>
    <font>
      <b/>
      <sz val="12"/>
      <color theme="0" tint="-0.499984740745262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12"/>
      <color theme="9" tint="-0.499984740745262"/>
      <name val="Times New Roman"/>
      <family val="1"/>
      <charset val="204"/>
    </font>
    <font>
      <sz val="11"/>
      <color rgb="FF666633"/>
      <name val="Times New Roman"/>
      <family val="1"/>
      <charset val="204"/>
    </font>
    <font>
      <sz val="9"/>
      <color rgb="FF666633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5" tint="0.79998168889431442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name val="Arial Cyr"/>
    </font>
    <font>
      <sz val="10"/>
      <name val="Tahoma"/>
      <family val="2"/>
      <charset val="204"/>
    </font>
    <font>
      <b/>
      <sz val="10"/>
      <color indexed="12"/>
      <name val="Times New Roman"/>
      <family val="1"/>
      <charset val="204"/>
    </font>
    <font>
      <sz val="8"/>
      <color indexed="12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color indexed="60"/>
      <name val="Times New Roman"/>
      <family val="1"/>
      <charset val="204"/>
    </font>
    <font>
      <i/>
      <sz val="8"/>
      <color indexed="5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5" tint="-0.249977111117893"/>
      <name val="Calibri"/>
      <family val="2"/>
      <charset val="204"/>
      <scheme val="minor"/>
    </font>
    <font>
      <sz val="11"/>
      <color theme="5" tint="0.59999389629810485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8BFFFF"/>
        <bgColor indexed="64"/>
      </patternFill>
    </fill>
    <fill>
      <patternFill patternType="solid">
        <fgColor rgb="FF93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26" fillId="0" borderId="0" applyFont="0" applyFill="0" applyBorder="0" applyAlignment="0" applyProtection="0"/>
    <xf numFmtId="0" fontId="27" fillId="0" borderId="0"/>
    <xf numFmtId="0" fontId="29" fillId="0" borderId="0"/>
    <xf numFmtId="43" fontId="29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65" fillId="0" borderId="0"/>
    <xf numFmtId="0" fontId="26" fillId="0" borderId="0"/>
    <xf numFmtId="170" fontId="62" fillId="0" borderId="0" applyFill="0" applyBorder="0" applyAlignment="0" applyProtection="0"/>
    <xf numFmtId="171" fontId="68" fillId="0" borderId="0"/>
    <xf numFmtId="0" fontId="68" fillId="0" borderId="0"/>
    <xf numFmtId="0" fontId="68" fillId="0" borderId="0"/>
    <xf numFmtId="0" fontId="68" fillId="0" borderId="0"/>
    <xf numFmtId="0" fontId="69" fillId="0" borderId="0"/>
    <xf numFmtId="0" fontId="68" fillId="0" borderId="0"/>
    <xf numFmtId="0" fontId="65" fillId="0" borderId="0"/>
    <xf numFmtId="0" fontId="70" fillId="0" borderId="0"/>
    <xf numFmtId="0" fontId="26" fillId="0" borderId="0"/>
    <xf numFmtId="0" fontId="26" fillId="0" borderId="0"/>
    <xf numFmtId="0" fontId="71" fillId="0" borderId="0"/>
    <xf numFmtId="0" fontId="71" fillId="0" borderId="0"/>
    <xf numFmtId="0" fontId="69" fillId="0" borderId="0"/>
    <xf numFmtId="0" fontId="26" fillId="0" borderId="0"/>
    <xf numFmtId="9" fontId="65" fillId="0" borderId="0" applyFont="0" applyFill="0" applyBorder="0" applyAlignment="0" applyProtection="0"/>
    <xf numFmtId="9" fontId="69" fillId="0" borderId="0" applyFill="0" applyBorder="0" applyAlignment="0" applyProtection="0"/>
    <xf numFmtId="9" fontId="2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9" fillId="0" borderId="0" applyFill="0" applyBorder="0" applyAlignment="0" applyProtection="0"/>
    <xf numFmtId="9" fontId="69" fillId="0" borderId="0" applyFill="0" applyBorder="0" applyAlignment="0" applyProtection="0"/>
    <xf numFmtId="43" fontId="65" fillId="0" borderId="0" applyFont="0" applyFill="0" applyBorder="0" applyAlignment="0" applyProtection="0"/>
    <xf numFmtId="9" fontId="69" fillId="0" borderId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62" fillId="0" borderId="0"/>
    <xf numFmtId="0" fontId="71" fillId="0" borderId="0"/>
    <xf numFmtId="9" fontId="69" fillId="0" borderId="0" applyFill="0" applyBorder="0" applyAlignment="0" applyProtection="0"/>
    <xf numFmtId="43" fontId="26" fillId="0" borderId="0" applyFont="0" applyFill="0" applyBorder="0" applyAlignment="0" applyProtection="0"/>
    <xf numFmtId="0" fontId="110" fillId="0" borderId="0"/>
  </cellStyleXfs>
  <cellXfs count="367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0" fillId="0" borderId="3" xfId="0" applyNumberForma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left" vertical="center" wrapText="1"/>
    </xf>
    <xf numFmtId="49" fontId="0" fillId="0" borderId="3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1" fillId="2" borderId="8" xfId="0" applyNumberFormat="1" applyFont="1" applyFill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2" xfId="0" applyBorder="1"/>
    <xf numFmtId="0" fontId="1" fillId="2" borderId="14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2" xfId="0" applyFill="1" applyBorder="1"/>
    <xf numFmtId="49" fontId="1" fillId="3" borderId="8" xfId="0" applyNumberFormat="1" applyFont="1" applyFill="1" applyBorder="1"/>
    <xf numFmtId="0" fontId="1" fillId="3" borderId="14" xfId="0" applyFont="1" applyFill="1" applyBorder="1"/>
    <xf numFmtId="0" fontId="1" fillId="2" borderId="1" xfId="0" applyFont="1" applyFill="1" applyBorder="1"/>
    <xf numFmtId="0" fontId="0" fillId="2" borderId="1" xfId="0" applyFill="1" applyBorder="1"/>
    <xf numFmtId="0" fontId="0" fillId="2" borderId="3" xfId="0" applyFill="1" applyBorder="1"/>
    <xf numFmtId="49" fontId="1" fillId="2" borderId="3" xfId="0" applyNumberFormat="1" applyFont="1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/>
    <xf numFmtId="0" fontId="0" fillId="2" borderId="15" xfId="0" applyFill="1" applyBorder="1"/>
    <xf numFmtId="0" fontId="1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4" xfId="0" applyBorder="1"/>
    <xf numFmtId="0" fontId="0" fillId="0" borderId="26" xfId="0" applyBorder="1" applyAlignment="1">
      <alignment horizontal="center" vertical="center" wrapText="1"/>
    </xf>
    <xf numFmtId="0" fontId="0" fillId="2" borderId="24" xfId="0" applyFill="1" applyBorder="1"/>
    <xf numFmtId="0" fontId="0" fillId="2" borderId="23" xfId="0" applyFill="1" applyBorder="1"/>
    <xf numFmtId="0" fontId="1" fillId="2" borderId="23" xfId="0" applyFont="1" applyFill="1" applyBorder="1"/>
    <xf numFmtId="49" fontId="0" fillId="0" borderId="0" xfId="0" applyNumberFormat="1" applyBorder="1"/>
    <xf numFmtId="0" fontId="0" fillId="0" borderId="0" xfId="0" applyBorder="1"/>
    <xf numFmtId="0" fontId="1" fillId="0" borderId="0" xfId="0" applyFont="1"/>
    <xf numFmtId="0" fontId="1" fillId="0" borderId="0" xfId="0" applyFont="1" applyAlignment="1"/>
    <xf numFmtId="49" fontId="1" fillId="0" borderId="0" xfId="0" applyNumberFormat="1" applyFon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49" fontId="1" fillId="6" borderId="8" xfId="0" applyNumberFormat="1" applyFont="1" applyFill="1" applyBorder="1"/>
    <xf numFmtId="0" fontId="1" fillId="6" borderId="14" xfId="0" applyFont="1" applyFill="1" applyBorder="1"/>
    <xf numFmtId="0" fontId="1" fillId="6" borderId="8" xfId="0" applyFont="1" applyFill="1" applyBorder="1"/>
    <xf numFmtId="49" fontId="0" fillId="6" borderId="8" xfId="0" applyNumberFormat="1" applyFill="1" applyBorder="1"/>
    <xf numFmtId="0" fontId="0" fillId="6" borderId="14" xfId="0" applyFill="1" applyBorder="1"/>
    <xf numFmtId="0" fontId="0" fillId="6" borderId="9" xfId="0" applyFill="1" applyBorder="1"/>
    <xf numFmtId="0" fontId="1" fillId="7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/>
    </xf>
    <xf numFmtId="0" fontId="0" fillId="2" borderId="2" xfId="0" applyFill="1" applyBorder="1"/>
    <xf numFmtId="0" fontId="0" fillId="6" borderId="10" xfId="0" applyFill="1" applyBorder="1"/>
    <xf numFmtId="0" fontId="0" fillId="7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/>
    <xf numFmtId="49" fontId="0" fillId="0" borderId="1" xfId="0" applyNumberFormat="1" applyBorder="1" applyAlignment="1"/>
    <xf numFmtId="49" fontId="0" fillId="6" borderId="8" xfId="0" applyNumberFormat="1" applyFill="1" applyBorder="1" applyAlignment="1"/>
    <xf numFmtId="0" fontId="0" fillId="0" borderId="2" xfId="0" applyFill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Fill="1" applyBorder="1"/>
    <xf numFmtId="0" fontId="1" fillId="8" borderId="1" xfId="0" applyFont="1" applyFill="1" applyBorder="1"/>
    <xf numFmtId="0" fontId="1" fillId="8" borderId="1" xfId="0" applyFont="1" applyFill="1" applyBorder="1" applyAlignment="1">
      <alignment vertical="center" wrapText="1"/>
    </xf>
    <xf numFmtId="0" fontId="0" fillId="6" borderId="8" xfId="0" applyFill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 wrapText="1"/>
    </xf>
    <xf numFmtId="0" fontId="1" fillId="0" borderId="2" xfId="0" applyFont="1" applyFill="1" applyBorder="1"/>
    <xf numFmtId="49" fontId="0" fillId="0" borderId="0" xfId="0" applyNumberFormat="1"/>
    <xf numFmtId="0" fontId="0" fillId="0" borderId="0" xfId="0" applyBorder="1" applyAlignment="1">
      <alignment vertical="center" wrapText="1"/>
    </xf>
    <xf numFmtId="49" fontId="0" fillId="0" borderId="0" xfId="0" applyNumberForma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1" fillId="6" borderId="14" xfId="0" applyFont="1" applyFill="1" applyBorder="1" applyAlignment="1">
      <alignment vertical="center" wrapText="1"/>
    </xf>
    <xf numFmtId="49" fontId="1" fillId="6" borderId="1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wrapText="1"/>
    </xf>
    <xf numFmtId="0" fontId="0" fillId="12" borderId="1" xfId="0" applyFill="1" applyBorder="1" applyAlignment="1">
      <alignment wrapText="1"/>
    </xf>
    <xf numFmtId="0" fontId="0" fillId="0" borderId="8" xfId="0" applyBorder="1"/>
    <xf numFmtId="0" fontId="0" fillId="0" borderId="14" xfId="0" applyBorder="1"/>
    <xf numFmtId="0" fontId="0" fillId="0" borderId="4" xfId="0" applyBorder="1"/>
    <xf numFmtId="0" fontId="1" fillId="0" borderId="14" xfId="0" applyFont="1" applyBorder="1"/>
    <xf numFmtId="49" fontId="1" fillId="7" borderId="34" xfId="0" applyNumberFormat="1" applyFont="1" applyFill="1" applyBorder="1" applyAlignment="1">
      <alignment horizontal="left" vertical="center" wrapText="1"/>
    </xf>
    <xf numFmtId="0" fontId="3" fillId="7" borderId="34" xfId="0" applyFont="1" applyFill="1" applyBorder="1" applyAlignment="1">
      <alignment horizontal="left" vertical="center" wrapText="1"/>
    </xf>
    <xf numFmtId="0" fontId="3" fillId="7" borderId="34" xfId="0" applyFont="1" applyFill="1" applyBorder="1" applyAlignment="1">
      <alignment horizontal="center" vertical="center" wrapText="1"/>
    </xf>
    <xf numFmtId="0" fontId="1" fillId="7" borderId="40" xfId="0" applyFont="1" applyFill="1" applyBorder="1" applyAlignment="1">
      <alignment horizontal="left" vertical="center" wrapText="1"/>
    </xf>
    <xf numFmtId="0" fontId="3" fillId="7" borderId="40" xfId="0" applyFont="1" applyFill="1" applyBorder="1" applyAlignment="1">
      <alignment horizontal="left" vertical="center" wrapText="1"/>
    </xf>
    <xf numFmtId="0" fontId="3" fillId="7" borderId="40" xfId="0" applyFont="1" applyFill="1" applyBorder="1" applyAlignment="1">
      <alignment horizontal="center" vertical="center" wrapText="1"/>
    </xf>
    <xf numFmtId="0" fontId="1" fillId="7" borderId="40" xfId="0" applyFont="1" applyFill="1" applyBorder="1" applyAlignment="1">
      <alignment horizontal="center" vertical="center" wrapText="1"/>
    </xf>
    <xf numFmtId="49" fontId="1" fillId="7" borderId="40" xfId="0" applyNumberFormat="1" applyFont="1" applyFill="1" applyBorder="1" applyAlignment="1">
      <alignment horizontal="left" vertical="center" wrapText="1"/>
    </xf>
    <xf numFmtId="49" fontId="1" fillId="7" borderId="43" xfId="0" applyNumberFormat="1" applyFont="1" applyFill="1" applyBorder="1" applyAlignment="1">
      <alignment horizontal="left" vertical="center" wrapText="1"/>
    </xf>
    <xf numFmtId="0" fontId="3" fillId="7" borderId="43" xfId="0" applyFont="1" applyFill="1" applyBorder="1" applyAlignment="1">
      <alignment horizontal="left" vertical="center" wrapText="1"/>
    </xf>
    <xf numFmtId="0" fontId="3" fillId="7" borderId="43" xfId="0" applyFont="1" applyFill="1" applyBorder="1" applyAlignment="1">
      <alignment horizontal="center" vertical="center" wrapText="1"/>
    </xf>
    <xf numFmtId="49" fontId="0" fillId="0" borderId="37" xfId="0" applyNumberForma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" fillId="7" borderId="34" xfId="0" applyFont="1" applyFill="1" applyBorder="1" applyAlignment="1">
      <alignment horizontal="left" vertical="center" wrapText="1"/>
    </xf>
    <xf numFmtId="0" fontId="0" fillId="7" borderId="34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1" fillId="0" borderId="15" xfId="0" applyFont="1" applyFill="1" applyBorder="1"/>
    <xf numFmtId="0" fontId="0" fillId="0" borderId="1" xfId="0" applyBorder="1" applyAlignment="1">
      <alignment horizontal="center" wrapText="1"/>
    </xf>
    <xf numFmtId="49" fontId="1" fillId="2" borderId="8" xfId="0" applyNumberFormat="1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10" fontId="1" fillId="0" borderId="1" xfId="0" applyNumberFormat="1" applyFont="1" applyFill="1" applyBorder="1"/>
    <xf numFmtId="49" fontId="1" fillId="2" borderId="10" xfId="0" applyNumberFormat="1" applyFont="1" applyFill="1" applyBorder="1"/>
    <xf numFmtId="0" fontId="1" fillId="2" borderId="16" xfId="0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vertical="center" wrapText="1"/>
    </xf>
    <xf numFmtId="49" fontId="0" fillId="7" borderId="34" xfId="0" applyNumberFormat="1" applyFill="1" applyBorder="1" applyAlignment="1">
      <alignment vertical="center" wrapText="1"/>
    </xf>
    <xf numFmtId="49" fontId="0" fillId="0" borderId="37" xfId="0" applyNumberFormat="1" applyBorder="1" applyAlignment="1">
      <alignment vertical="center" wrapText="1"/>
    </xf>
    <xf numFmtId="49" fontId="1" fillId="7" borderId="40" xfId="0" applyNumberFormat="1" applyFont="1" applyFill="1" applyBorder="1" applyAlignment="1">
      <alignment vertical="center" wrapText="1"/>
    </xf>
    <xf numFmtId="49" fontId="1" fillId="7" borderId="15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1" fillId="6" borderId="8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0" borderId="8" xfId="0" applyNumberFormat="1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/>
    </xf>
    <xf numFmtId="49" fontId="0" fillId="0" borderId="8" xfId="0" applyNumberFormat="1" applyFill="1" applyBorder="1"/>
    <xf numFmtId="0" fontId="0" fillId="0" borderId="34" xfId="0" applyBorder="1"/>
    <xf numFmtId="0" fontId="1" fillId="0" borderId="34" xfId="0" applyFont="1" applyBorder="1"/>
    <xf numFmtId="0" fontId="0" fillId="0" borderId="34" xfId="0" applyBorder="1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49" fontId="0" fillId="0" borderId="2" xfId="0" applyNumberFormat="1" applyFill="1" applyBorder="1"/>
    <xf numFmtId="0" fontId="2" fillId="0" borderId="2" xfId="0" applyFont="1" applyFill="1" applyBorder="1" applyAlignment="1">
      <alignment horizontal="left" vertical="center" wrapText="1"/>
    </xf>
    <xf numFmtId="49" fontId="0" fillId="0" borderId="3" xfId="0" applyNumberFormat="1" applyFill="1" applyBorder="1"/>
    <xf numFmtId="0" fontId="2" fillId="0" borderId="3" xfId="0" applyFont="1" applyFill="1" applyBorder="1" applyAlignment="1">
      <alignment horizontal="left" vertical="center" wrapText="1"/>
    </xf>
    <xf numFmtId="49" fontId="1" fillId="7" borderId="40" xfId="0" applyNumberFormat="1" applyFont="1" applyFill="1" applyBorder="1"/>
    <xf numFmtId="0" fontId="3" fillId="7" borderId="15" xfId="0" applyFont="1" applyFill="1" applyBorder="1" applyAlignment="1">
      <alignment horizontal="left" vertical="center" wrapText="1"/>
    </xf>
    <xf numFmtId="0" fontId="3" fillId="7" borderId="15" xfId="0" applyFont="1" applyFill="1" applyBorder="1" applyAlignment="1">
      <alignment horizontal="center" vertical="center" wrapText="1"/>
    </xf>
    <xf numFmtId="49" fontId="1" fillId="7" borderId="34" xfId="0" applyNumberFormat="1" applyFont="1" applyFill="1" applyBorder="1"/>
    <xf numFmtId="0" fontId="1" fillId="7" borderId="34" xfId="0" applyFont="1" applyFill="1" applyBorder="1" applyAlignment="1">
      <alignment horizontal="center"/>
    </xf>
    <xf numFmtId="0" fontId="1" fillId="7" borderId="40" xfId="0" applyFont="1" applyFill="1" applyBorder="1" applyAlignment="1">
      <alignment horizontal="center"/>
    </xf>
    <xf numFmtId="49" fontId="1" fillId="7" borderId="15" xfId="0" applyNumberFormat="1" applyFont="1" applyFill="1" applyBorder="1"/>
    <xf numFmtId="0" fontId="1" fillId="7" borderId="15" xfId="0" applyFont="1" applyFill="1" applyBorder="1" applyAlignment="1">
      <alignment horizontal="center"/>
    </xf>
    <xf numFmtId="0" fontId="3" fillId="7" borderId="40" xfId="0" applyFont="1" applyFill="1" applyBorder="1"/>
    <xf numFmtId="0" fontId="3" fillId="7" borderId="40" xfId="0" applyFont="1" applyFill="1" applyBorder="1" applyAlignment="1">
      <alignment vertical="center" wrapText="1"/>
    </xf>
    <xf numFmtId="0" fontId="3" fillId="7" borderId="15" xfId="0" applyFont="1" applyFill="1" applyBorder="1" applyAlignment="1">
      <alignment vertical="center" wrapText="1"/>
    </xf>
    <xf numFmtId="49" fontId="1" fillId="7" borderId="15" xfId="0" applyNumberFormat="1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vertical="center" wrapText="1"/>
    </xf>
    <xf numFmtId="49" fontId="1" fillId="7" borderId="40" xfId="0" applyNumberFormat="1" applyFont="1" applyFill="1" applyBorder="1" applyAlignment="1">
      <alignment vertical="center"/>
    </xf>
    <xf numFmtId="49" fontId="3" fillId="7" borderId="40" xfId="0" applyNumberFormat="1" applyFont="1" applyFill="1" applyBorder="1" applyAlignment="1">
      <alignment vertical="center" wrapText="1"/>
    </xf>
    <xf numFmtId="0" fontId="1" fillId="7" borderId="40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 applyAlignment="1">
      <alignment horizontal="center"/>
    </xf>
    <xf numFmtId="10" fontId="0" fillId="0" borderId="0" xfId="0" applyNumberFormat="1" applyBorder="1"/>
    <xf numFmtId="0" fontId="1" fillId="0" borderId="24" xfId="0" applyFont="1" applyBorder="1"/>
    <xf numFmtId="0" fontId="0" fillId="0" borderId="12" xfId="0" applyBorder="1"/>
    <xf numFmtId="0" fontId="0" fillId="0" borderId="1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53" xfId="0" applyBorder="1"/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13" borderId="1" xfId="0" applyFont="1" applyFill="1" applyBorder="1"/>
    <xf numFmtId="0" fontId="0" fillId="13" borderId="1" xfId="0" applyFill="1" applyBorder="1"/>
    <xf numFmtId="0" fontId="0" fillId="13" borderId="24" xfId="0" applyFill="1" applyBorder="1"/>
    <xf numFmtId="0" fontId="1" fillId="0" borderId="1" xfId="0" applyFont="1" applyBorder="1" applyAlignment="1">
      <alignment wrapText="1"/>
    </xf>
    <xf numFmtId="0" fontId="0" fillId="0" borderId="2" xfId="0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vertical="center" wrapText="1"/>
    </xf>
    <xf numFmtId="49" fontId="0" fillId="0" borderId="1" xfId="0" applyNumberFormat="1" applyFill="1" applyBorder="1"/>
    <xf numFmtId="0" fontId="0" fillId="0" borderId="1" xfId="0" applyFill="1" applyBorder="1" applyAlignment="1">
      <alignment wrapText="1"/>
    </xf>
    <xf numFmtId="49" fontId="1" fillId="0" borderId="1" xfId="0" applyNumberFormat="1" applyFont="1" applyFill="1" applyBorder="1"/>
    <xf numFmtId="0" fontId="1" fillId="14" borderId="1" xfId="0" applyFont="1" applyFill="1" applyBorder="1"/>
    <xf numFmtId="0" fontId="1" fillId="14" borderId="1" xfId="0" applyFont="1" applyFill="1" applyBorder="1" applyAlignment="1">
      <alignment horizontal="center"/>
    </xf>
    <xf numFmtId="0" fontId="0" fillId="14" borderId="1" xfId="0" applyFill="1" applyBorder="1"/>
    <xf numFmtId="0" fontId="0" fillId="14" borderId="24" xfId="0" applyFill="1" applyBorder="1"/>
    <xf numFmtId="49" fontId="12" fillId="2" borderId="1" xfId="0" applyNumberFormat="1" applyFont="1" applyFill="1" applyBorder="1"/>
    <xf numFmtId="0" fontId="12" fillId="2" borderId="1" xfId="0" applyFont="1" applyFill="1" applyBorder="1" applyAlignment="1">
      <alignment wrapText="1"/>
    </xf>
    <xf numFmtId="49" fontId="0" fillId="0" borderId="1" xfId="0" applyNumberFormat="1" applyFont="1" applyBorder="1"/>
    <xf numFmtId="0" fontId="0" fillId="0" borderId="1" xfId="0" applyFont="1" applyBorder="1"/>
    <xf numFmtId="49" fontId="0" fillId="0" borderId="2" xfId="0" applyNumberFormat="1" applyFont="1" applyBorder="1"/>
    <xf numFmtId="0" fontId="0" fillId="0" borderId="2" xfId="0" applyBorder="1" applyAlignment="1">
      <alignment wrapText="1"/>
    </xf>
    <xf numFmtId="49" fontId="0" fillId="7" borderId="10" xfId="0" applyNumberFormat="1" applyFont="1" applyFill="1" applyBorder="1"/>
    <xf numFmtId="0" fontId="1" fillId="7" borderId="14" xfId="0" applyFont="1" applyFill="1" applyBorder="1" applyAlignment="1">
      <alignment horizontal="center" wrapText="1"/>
    </xf>
    <xf numFmtId="0" fontId="1" fillId="7" borderId="14" xfId="0" applyFont="1" applyFill="1" applyBorder="1" applyAlignment="1">
      <alignment horizontal="center"/>
    </xf>
    <xf numFmtId="49" fontId="0" fillId="0" borderId="15" xfId="0" applyNumberFormat="1" applyFont="1" applyBorder="1"/>
    <xf numFmtId="0" fontId="0" fillId="0" borderId="15" xfId="0" applyBorder="1" applyAlignment="1">
      <alignment horizontal="center" wrapText="1"/>
    </xf>
    <xf numFmtId="10" fontId="0" fillId="0" borderId="15" xfId="0" applyNumberFormat="1" applyBorder="1" applyAlignment="1">
      <alignment horizontal="center"/>
    </xf>
    <xf numFmtId="49" fontId="1" fillId="7" borderId="8" xfId="0" applyNumberFormat="1" applyFont="1" applyFill="1" applyBorder="1"/>
    <xf numFmtId="0" fontId="0" fillId="0" borderId="15" xfId="0" applyBorder="1" applyAlignment="1">
      <alignment horizontal="center"/>
    </xf>
    <xf numFmtId="49" fontId="12" fillId="4" borderId="8" xfId="0" applyNumberFormat="1" applyFont="1" applyFill="1" applyBorder="1"/>
    <xf numFmtId="0" fontId="12" fillId="4" borderId="14" xfId="0" applyFont="1" applyFill="1" applyBorder="1" applyAlignment="1">
      <alignment wrapText="1"/>
    </xf>
    <xf numFmtId="0" fontId="0" fillId="4" borderId="14" xfId="0" applyFill="1" applyBorder="1" applyAlignment="1">
      <alignment horizontal="center"/>
    </xf>
    <xf numFmtId="49" fontId="0" fillId="0" borderId="3" xfId="0" applyNumberFormat="1" applyFont="1" applyBorder="1"/>
    <xf numFmtId="0" fontId="0" fillId="0" borderId="3" xfId="0" applyFont="1" applyBorder="1"/>
    <xf numFmtId="0" fontId="1" fillId="7" borderId="14" xfId="0" applyFont="1" applyFill="1" applyBorder="1" applyAlignment="1">
      <alignment wrapText="1"/>
    </xf>
    <xf numFmtId="49" fontId="1" fillId="0" borderId="15" xfId="0" applyNumberFormat="1" applyFont="1" applyBorder="1"/>
    <xf numFmtId="49" fontId="1" fillId="14" borderId="8" xfId="0" applyNumberFormat="1" applyFont="1" applyFill="1" applyBorder="1"/>
    <xf numFmtId="0" fontId="1" fillId="14" borderId="14" xfId="0" applyFont="1" applyFill="1" applyBorder="1"/>
    <xf numFmtId="0" fontId="0" fillId="14" borderId="14" xfId="0" applyFill="1" applyBorder="1" applyAlignment="1">
      <alignment horizontal="center"/>
    </xf>
    <xf numFmtId="49" fontId="12" fillId="2" borderId="3" xfId="0" applyNumberFormat="1" applyFont="1" applyFill="1" applyBorder="1"/>
    <xf numFmtId="0" fontId="12" fillId="2" borderId="3" xfId="0" applyFont="1" applyFill="1" applyBorder="1" applyAlignment="1">
      <alignment wrapText="1"/>
    </xf>
    <xf numFmtId="0" fontId="0" fillId="2" borderId="3" xfId="0" applyFill="1" applyBorder="1" applyAlignment="1">
      <alignment horizontal="center"/>
    </xf>
    <xf numFmtId="49" fontId="0" fillId="7" borderId="58" xfId="0" applyNumberFormat="1" applyFont="1" applyFill="1" applyBorder="1"/>
    <xf numFmtId="0" fontId="1" fillId="7" borderId="51" xfId="0" applyFont="1" applyFill="1" applyBorder="1" applyAlignment="1">
      <alignment wrapText="1"/>
    </xf>
    <xf numFmtId="0" fontId="1" fillId="7" borderId="51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49" fontId="1" fillId="0" borderId="17" xfId="0" applyNumberFormat="1" applyFont="1" applyBorder="1"/>
    <xf numFmtId="0" fontId="0" fillId="0" borderId="18" xfId="0" applyBorder="1" applyAlignment="1">
      <alignment horizontal="center" wrapText="1"/>
    </xf>
    <xf numFmtId="10" fontId="0" fillId="0" borderId="18" xfId="0" applyNumberFormat="1" applyBorder="1" applyAlignment="1">
      <alignment horizontal="center"/>
    </xf>
    <xf numFmtId="49" fontId="1" fillId="0" borderId="58" xfId="0" applyNumberFormat="1" applyFont="1" applyBorder="1"/>
    <xf numFmtId="0" fontId="0" fillId="0" borderId="51" xfId="0" applyBorder="1" applyAlignment="1">
      <alignment horizontal="center" wrapText="1"/>
    </xf>
    <xf numFmtId="0" fontId="0" fillId="0" borderId="51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1" fillId="7" borderId="1" xfId="0" applyNumberFormat="1" applyFont="1" applyFill="1" applyBorder="1" applyAlignment="1">
      <alignment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43" xfId="0" applyFont="1" applyBorder="1" applyAlignment="1">
      <alignment vertical="center" wrapText="1"/>
    </xf>
    <xf numFmtId="165" fontId="1" fillId="0" borderId="43" xfId="0" applyNumberFormat="1" applyFont="1" applyBorder="1" applyAlignment="1">
      <alignment horizontal="center" vertical="center" wrapText="1"/>
    </xf>
    <xf numFmtId="165" fontId="1" fillId="0" borderId="43" xfId="0" applyNumberFormat="1" applyFont="1" applyBorder="1" applyAlignment="1">
      <alignment vertical="center" wrapText="1"/>
    </xf>
    <xf numFmtId="0" fontId="14" fillId="0" borderId="74" xfId="0" applyFont="1" applyBorder="1" applyAlignment="1">
      <alignment vertical="center" wrapText="1"/>
    </xf>
    <xf numFmtId="0" fontId="1" fillId="0" borderId="43" xfId="0" applyFont="1" applyBorder="1" applyAlignment="1">
      <alignment vertical="center" wrapText="1"/>
    </xf>
    <xf numFmtId="0" fontId="14" fillId="0" borderId="43" xfId="0" applyFont="1" applyBorder="1" applyAlignment="1">
      <alignment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2" fontId="16" fillId="2" borderId="40" xfId="0" applyNumberFormat="1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2" fontId="14" fillId="0" borderId="3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2" fontId="18" fillId="0" borderId="1" xfId="0" applyNumberFormat="1" applyFont="1" applyBorder="1" applyAlignment="1">
      <alignment horizontal="center"/>
    </xf>
    <xf numFmtId="0" fontId="18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7" fillId="0" borderId="43" xfId="0" applyFont="1" applyBorder="1" applyAlignment="1">
      <alignment vertical="center" wrapText="1"/>
    </xf>
    <xf numFmtId="0" fontId="17" fillId="0" borderId="43" xfId="0" applyFont="1" applyFill="1" applyBorder="1" applyAlignment="1">
      <alignment horizontal="left" vertical="center" wrapText="1"/>
    </xf>
    <xf numFmtId="0" fontId="17" fillId="0" borderId="15" xfId="0" applyFont="1" applyBorder="1" applyAlignment="1">
      <alignment vertical="center" wrapText="1"/>
    </xf>
    <xf numFmtId="0" fontId="17" fillId="0" borderId="18" xfId="0" applyFont="1" applyFill="1" applyBorder="1" applyAlignment="1">
      <alignment horizontal="left" vertical="center" wrapText="1"/>
    </xf>
    <xf numFmtId="0" fontId="14" fillId="0" borderId="7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4" fillId="0" borderId="37" xfId="0" applyFont="1" applyBorder="1" applyAlignment="1">
      <alignment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14" fillId="0" borderId="23" xfId="0" applyFont="1" applyBorder="1" applyAlignment="1">
      <alignment vertical="center" wrapText="1"/>
    </xf>
    <xf numFmtId="0" fontId="0" fillId="2" borderId="40" xfId="0" applyFill="1" applyBorder="1"/>
    <xf numFmtId="0" fontId="3" fillId="0" borderId="1" xfId="0" applyFont="1" applyFill="1" applyBorder="1"/>
    <xf numFmtId="0" fontId="16" fillId="0" borderId="1" xfId="0" applyFont="1" applyFill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0" fillId="0" borderId="40" xfId="0" applyBorder="1"/>
    <xf numFmtId="0" fontId="1" fillId="2" borderId="18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7" borderId="18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left"/>
    </xf>
    <xf numFmtId="0" fontId="0" fillId="0" borderId="37" xfId="0" applyBorder="1"/>
    <xf numFmtId="0" fontId="3" fillId="0" borderId="37" xfId="0" applyFont="1" applyFill="1" applyBorder="1" applyAlignment="1">
      <alignment vertical="center" wrapText="1"/>
    </xf>
    <xf numFmtId="0" fontId="1" fillId="0" borderId="3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vertical="center" wrapText="1"/>
    </xf>
    <xf numFmtId="0" fontId="1" fillId="2" borderId="41" xfId="0" applyFont="1" applyFill="1" applyBorder="1" applyAlignment="1">
      <alignment horizontal="center" vertical="center"/>
    </xf>
    <xf numFmtId="2" fontId="0" fillId="2" borderId="40" xfId="0" applyNumberFormat="1" applyFill="1" applyBorder="1" applyAlignment="1">
      <alignment vertical="center" wrapText="1"/>
    </xf>
    <xf numFmtId="0" fontId="0" fillId="2" borderId="40" xfId="0" applyFill="1" applyBorder="1" applyAlignment="1">
      <alignment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10" fontId="0" fillId="0" borderId="1" xfId="0" applyNumberForma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49" fontId="1" fillId="2" borderId="58" xfId="0" applyNumberFormat="1" applyFont="1" applyFill="1" applyBorder="1" applyAlignment="1">
      <alignment horizontal="left"/>
    </xf>
    <xf numFmtId="0" fontId="1" fillId="2" borderId="51" xfId="0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8" fillId="0" borderId="0" xfId="0" applyFont="1"/>
    <xf numFmtId="0" fontId="1" fillId="0" borderId="0" xfId="0" applyFont="1" applyAlignment="1">
      <alignment horizontal="center"/>
    </xf>
    <xf numFmtId="0" fontId="19" fillId="0" borderId="0" xfId="0" applyFont="1"/>
    <xf numFmtId="49" fontId="9" fillId="0" borderId="0" xfId="0" applyNumberFormat="1" applyFont="1" applyBorder="1"/>
    <xf numFmtId="0" fontId="9" fillId="0" borderId="0" xfId="0" applyFont="1" applyBorder="1"/>
    <xf numFmtId="0" fontId="20" fillId="0" borderId="0" xfId="0" applyFont="1"/>
    <xf numFmtId="0" fontId="20" fillId="0" borderId="0" xfId="0" applyFont="1" applyFill="1" applyBorder="1"/>
    <xf numFmtId="0" fontId="21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19" fillId="0" borderId="0" xfId="0" applyFont="1" applyFill="1" applyBorder="1"/>
    <xf numFmtId="49" fontId="20" fillId="0" borderId="0" xfId="0" applyNumberFormat="1" applyFont="1" applyBorder="1"/>
    <xf numFmtId="0" fontId="13" fillId="0" borderId="52" xfId="0" applyFont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Fill="1" applyBorder="1"/>
    <xf numFmtId="49" fontId="24" fillId="0" borderId="0" xfId="0" applyNumberFormat="1" applyFont="1" applyBorder="1"/>
    <xf numFmtId="0" fontId="23" fillId="0" borderId="0" xfId="0" applyFont="1" applyBorder="1" applyAlignment="1">
      <alignment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0" fontId="24" fillId="0" borderId="0" xfId="0" applyFont="1" applyFill="1" applyBorder="1"/>
    <xf numFmtId="0" fontId="9" fillId="7" borderId="40" xfId="0" applyFont="1" applyFill="1" applyBorder="1" applyAlignment="1">
      <alignment horizontal="left" vertical="center" wrapText="1"/>
    </xf>
    <xf numFmtId="0" fontId="0" fillId="2" borderId="40" xfId="0" applyFill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25" fillId="0" borderId="0" xfId="0" applyFont="1"/>
    <xf numFmtId="0" fontId="0" fillId="0" borderId="4" xfId="0" applyBorder="1" applyAlignment="1">
      <alignment horizontal="center" vertical="center" wrapText="1"/>
    </xf>
    <xf numFmtId="0" fontId="1" fillId="6" borderId="51" xfId="0" applyFont="1" applyFill="1" applyBorder="1"/>
    <xf numFmtId="49" fontId="1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49" fontId="1" fillId="2" borderId="72" xfId="0" applyNumberFormat="1" applyFont="1" applyFill="1" applyBorder="1" applyAlignment="1">
      <alignment horizontal="left"/>
    </xf>
    <xf numFmtId="0" fontId="1" fillId="2" borderId="52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4" xfId="0" applyFill="1" applyBorder="1"/>
    <xf numFmtId="0" fontId="0" fillId="0" borderId="1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3" borderId="51" xfId="0" applyFont="1" applyFill="1" applyBorder="1"/>
    <xf numFmtId="43" fontId="0" fillId="0" borderId="1" xfId="1" applyFont="1" applyBorder="1"/>
    <xf numFmtId="43" fontId="1" fillId="0" borderId="1" xfId="1" applyFont="1" applyBorder="1"/>
    <xf numFmtId="43" fontId="0" fillId="2" borderId="3" xfId="1" applyFont="1" applyFill="1" applyBorder="1"/>
    <xf numFmtId="43" fontId="1" fillId="3" borderId="14" xfId="1" applyFont="1" applyFill="1" applyBorder="1"/>
    <xf numFmtId="43" fontId="1" fillId="3" borderId="22" xfId="1" applyFont="1" applyFill="1" applyBorder="1"/>
    <xf numFmtId="43" fontId="1" fillId="2" borderId="3" xfId="1" applyFont="1" applyFill="1" applyBorder="1"/>
    <xf numFmtId="43" fontId="0" fillId="2" borderId="15" xfId="1" applyFont="1" applyFill="1" applyBorder="1"/>
    <xf numFmtId="43" fontId="0" fillId="2" borderId="21" xfId="1" applyFont="1" applyFill="1" applyBorder="1"/>
    <xf numFmtId="43" fontId="1" fillId="6" borderId="14" xfId="1" applyFont="1" applyFill="1" applyBorder="1"/>
    <xf numFmtId="43" fontId="0" fillId="0" borderId="0" xfId="0" applyNumberFormat="1"/>
    <xf numFmtId="43" fontId="1" fillId="0" borderId="1" xfId="1" applyFont="1" applyFill="1" applyBorder="1"/>
    <xf numFmtId="43" fontId="1" fillId="0" borderId="2" xfId="1" applyFont="1" applyBorder="1"/>
    <xf numFmtId="4" fontId="1" fillId="0" borderId="1" xfId="0" applyNumberFormat="1" applyFont="1" applyFill="1" applyBorder="1" applyProtection="1">
      <protection locked="0"/>
    </xf>
    <xf numFmtId="4" fontId="1" fillId="0" borderId="1" xfId="0" applyNumberFormat="1" applyFont="1" applyBorder="1" applyProtection="1">
      <protection locked="0"/>
    </xf>
    <xf numFmtId="4" fontId="1" fillId="0" borderId="1" xfId="0" applyNumberFormat="1" applyFont="1" applyBorder="1"/>
    <xf numFmtId="4" fontId="1" fillId="0" borderId="2" xfId="0" applyNumberFormat="1" applyFont="1" applyBorder="1"/>
    <xf numFmtId="4" fontId="1" fillId="3" borderId="14" xfId="1" applyNumberFormat="1" applyFont="1" applyFill="1" applyBorder="1"/>
    <xf numFmtId="0" fontId="1" fillId="0" borderId="0" xfId="0" applyFont="1" applyAlignment="1">
      <alignment horizontal="center"/>
    </xf>
    <xf numFmtId="4" fontId="1" fillId="3" borderId="8" xfId="0" applyNumberFormat="1" applyFont="1" applyFill="1" applyBorder="1"/>
    <xf numFmtId="4" fontId="1" fillId="3" borderId="14" xfId="0" applyNumberFormat="1" applyFont="1" applyFill="1" applyBorder="1"/>
    <xf numFmtId="4" fontId="1" fillId="0" borderId="2" xfId="0" applyNumberFormat="1" applyFont="1" applyFill="1" applyBorder="1"/>
    <xf numFmtId="4" fontId="0" fillId="0" borderId="24" xfId="0" applyNumberFormat="1" applyBorder="1"/>
    <xf numFmtId="4" fontId="0" fillId="0" borderId="1" xfId="0" applyNumberFormat="1" applyBorder="1"/>
    <xf numFmtId="3" fontId="1" fillId="0" borderId="1" xfId="0" applyNumberFormat="1" applyFont="1" applyBorder="1"/>
    <xf numFmtId="4" fontId="1" fillId="0" borderId="1" xfId="0" applyNumberFormat="1" applyFont="1" applyFill="1" applyBorder="1"/>
    <xf numFmtId="43" fontId="0" fillId="0" borderId="0" xfId="0" applyNumberFormat="1" applyBorder="1"/>
    <xf numFmtId="4" fontId="1" fillId="3" borderId="51" xfId="0" applyNumberFormat="1" applyFont="1" applyFill="1" applyBorder="1"/>
    <xf numFmtId="4" fontId="0" fillId="2" borderId="15" xfId="0" applyNumberFormat="1" applyFill="1" applyBorder="1"/>
    <xf numFmtId="4" fontId="0" fillId="2" borderId="21" xfId="0" applyNumberFormat="1" applyFill="1" applyBorder="1"/>
    <xf numFmtId="4" fontId="0" fillId="0" borderId="0" xfId="0" applyNumberFormat="1"/>
    <xf numFmtId="4" fontId="0" fillId="5" borderId="1" xfId="0" applyNumberFormat="1" applyFill="1" applyBorder="1"/>
    <xf numFmtId="167" fontId="0" fillId="7" borderId="1" xfId="0" applyNumberFormat="1" applyFill="1" applyBorder="1"/>
    <xf numFmtId="4" fontId="1" fillId="2" borderId="1" xfId="0" applyNumberFormat="1" applyFont="1" applyFill="1" applyBorder="1"/>
    <xf numFmtId="4" fontId="0" fillId="0" borderId="2" xfId="0" applyNumberFormat="1" applyBorder="1"/>
    <xf numFmtId="4" fontId="0" fillId="6" borderId="14" xfId="0" applyNumberFormat="1" applyFill="1" applyBorder="1"/>
    <xf numFmtId="167" fontId="0" fillId="5" borderId="1" xfId="0" applyNumberFormat="1" applyFill="1" applyBorder="1"/>
    <xf numFmtId="4" fontId="1" fillId="6" borderId="14" xfId="0" applyNumberFormat="1" applyFont="1" applyFill="1" applyBorder="1"/>
    <xf numFmtId="168" fontId="1" fillId="6" borderId="14" xfId="0" applyNumberFormat="1" applyFont="1" applyFill="1" applyBorder="1"/>
    <xf numFmtId="168" fontId="1" fillId="6" borderId="14" xfId="0" applyNumberFormat="1" applyFont="1" applyFill="1" applyBorder="1" applyAlignment="1">
      <alignment horizontal="center"/>
    </xf>
    <xf numFmtId="4" fontId="0" fillId="2" borderId="1" xfId="0" applyNumberFormat="1" applyFill="1" applyBorder="1"/>
    <xf numFmtId="4" fontId="0" fillId="2" borderId="2" xfId="0" applyNumberFormat="1" applyFill="1" applyBorder="1"/>
    <xf numFmtId="4" fontId="0" fillId="2" borderId="1" xfId="0" applyNumberFormat="1" applyFill="1" applyBorder="1" applyAlignment="1">
      <alignment vertical="center" wrapText="1"/>
    </xf>
    <xf numFmtId="4" fontId="0" fillId="2" borderId="1" xfId="0" applyNumberFormat="1" applyFill="1" applyBorder="1" applyAlignment="1">
      <alignment horizontal="center"/>
    </xf>
    <xf numFmtId="4" fontId="1" fillId="8" borderId="1" xfId="0" applyNumberFormat="1" applyFont="1" applyFill="1" applyBorder="1"/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vertical="center" wrapText="1"/>
    </xf>
    <xf numFmtId="4" fontId="1" fillId="8" borderId="1" xfId="0" applyNumberFormat="1" applyFont="1" applyFill="1" applyBorder="1" applyAlignment="1">
      <alignment horizontal="center"/>
    </xf>
    <xf numFmtId="4" fontId="1" fillId="6" borderId="51" xfId="0" applyNumberFormat="1" applyFont="1" applyFill="1" applyBorder="1"/>
    <xf numFmtId="4" fontId="0" fillId="0" borderId="15" xfId="0" applyNumberFormat="1" applyBorder="1"/>
    <xf numFmtId="4" fontId="1" fillId="6" borderId="14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Font="1" applyFill="1" applyBorder="1"/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/>
    </xf>
    <xf numFmtId="4" fontId="1" fillId="6" borderId="14" xfId="0" applyNumberFormat="1" applyFont="1" applyFill="1" applyBorder="1" applyAlignment="1">
      <alignment vertical="center" wrapText="1"/>
    </xf>
    <xf numFmtId="4" fontId="1" fillId="6" borderId="14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4" fontId="0" fillId="6" borderId="1" xfId="0" applyNumberFormat="1" applyFill="1" applyBorder="1" applyAlignment="1">
      <alignment horizontal="center" vertical="center" wrapText="1"/>
    </xf>
    <xf numFmtId="4" fontId="1" fillId="6" borderId="9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vertical="center" wrapText="1"/>
    </xf>
    <xf numFmtId="4" fontId="0" fillId="0" borderId="25" xfId="0" applyNumberFormat="1" applyBorder="1"/>
    <xf numFmtId="4" fontId="0" fillId="0" borderId="1" xfId="0" applyNumberFormat="1" applyFill="1" applyBorder="1"/>
    <xf numFmtId="4" fontId="0" fillId="13" borderId="1" xfId="0" applyNumberFormat="1" applyFill="1" applyBorder="1"/>
    <xf numFmtId="0" fontId="0" fillId="0" borderId="1" xfId="0" applyFont="1" applyFill="1" applyBorder="1" applyAlignment="1">
      <alignment wrapText="1"/>
    </xf>
    <xf numFmtId="0" fontId="1" fillId="13" borderId="1" xfId="0" applyFont="1" applyFill="1" applyBorder="1" applyAlignment="1">
      <alignment wrapText="1"/>
    </xf>
    <xf numFmtId="9" fontId="0" fillId="0" borderId="2" xfId="0" applyNumberForma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24" xfId="0" applyNumberFormat="1" applyBorder="1"/>
    <xf numFmtId="168" fontId="0" fillId="0" borderId="1" xfId="0" applyNumberFormat="1" applyFill="1" applyBorder="1"/>
    <xf numFmtId="168" fontId="0" fillId="0" borderId="2" xfId="0" applyNumberFormat="1" applyBorder="1"/>
    <xf numFmtId="0" fontId="0" fillId="6" borderId="1" xfId="0" applyFill="1" applyBorder="1" applyAlignment="1">
      <alignment wrapText="1"/>
    </xf>
    <xf numFmtId="4" fontId="0" fillId="6" borderId="1" xfId="0" applyNumberFormat="1" applyFill="1" applyBorder="1"/>
    <xf numFmtId="167" fontId="0" fillId="6" borderId="1" xfId="0" applyNumberFormat="1" applyFill="1" applyBorder="1"/>
    <xf numFmtId="0" fontId="0" fillId="17" borderId="0" xfId="0" applyFill="1"/>
    <xf numFmtId="0" fontId="1" fillId="17" borderId="0" xfId="0" applyFont="1" applyFill="1" applyAlignment="1"/>
    <xf numFmtId="0" fontId="1" fillId="17" borderId="4" xfId="0" applyFont="1" applyFill="1" applyBorder="1" applyAlignment="1">
      <alignment horizontal="center" vertical="center" wrapText="1"/>
    </xf>
    <xf numFmtId="0" fontId="0" fillId="17" borderId="18" xfId="0" applyFill="1" applyBorder="1" applyAlignment="1">
      <alignment horizontal="center" vertical="center" wrapText="1"/>
    </xf>
    <xf numFmtId="3" fontId="0" fillId="17" borderId="1" xfId="0" applyNumberFormat="1" applyFill="1" applyBorder="1"/>
    <xf numFmtId="4" fontId="0" fillId="17" borderId="1" xfId="0" applyNumberFormat="1" applyFill="1" applyBorder="1"/>
    <xf numFmtId="4" fontId="0" fillId="17" borderId="2" xfId="0" applyNumberFormat="1" applyFill="1" applyBorder="1"/>
    <xf numFmtId="4" fontId="1" fillId="17" borderId="1" xfId="0" applyNumberFormat="1" applyFont="1" applyFill="1" applyBorder="1"/>
    <xf numFmtId="4" fontId="1" fillId="7" borderId="14" xfId="0" applyNumberFormat="1" applyFont="1" applyFill="1" applyBorder="1"/>
    <xf numFmtId="4" fontId="0" fillId="17" borderId="15" xfId="0" applyNumberFormat="1" applyFill="1" applyBorder="1"/>
    <xf numFmtId="4" fontId="0" fillId="4" borderId="14" xfId="0" applyNumberFormat="1" applyFill="1" applyBorder="1"/>
    <xf numFmtId="4" fontId="0" fillId="0" borderId="3" xfId="0" applyNumberFormat="1" applyBorder="1"/>
    <xf numFmtId="4" fontId="0" fillId="17" borderId="3" xfId="0" applyNumberFormat="1" applyFill="1" applyBorder="1"/>
    <xf numFmtId="4" fontId="1" fillId="0" borderId="15" xfId="0" applyNumberFormat="1" applyFont="1" applyBorder="1"/>
    <xf numFmtId="4" fontId="1" fillId="17" borderId="15" xfId="0" applyNumberFormat="1" applyFont="1" applyFill="1" applyBorder="1"/>
    <xf numFmtId="4" fontId="0" fillId="14" borderId="14" xfId="0" applyNumberFormat="1" applyFill="1" applyBorder="1"/>
    <xf numFmtId="4" fontId="0" fillId="2" borderId="3" xfId="0" applyNumberFormat="1" applyFill="1" applyBorder="1"/>
    <xf numFmtId="4" fontId="1" fillId="7" borderId="51" xfId="0" applyNumberFormat="1" applyFont="1" applyFill="1" applyBorder="1"/>
    <xf numFmtId="4" fontId="1" fillId="0" borderId="15" xfId="0" applyNumberFormat="1" applyFont="1" applyFill="1" applyBorder="1"/>
    <xf numFmtId="4" fontId="1" fillId="7" borderId="8" xfId="0" applyNumberFormat="1" applyFont="1" applyFill="1" applyBorder="1"/>
    <xf numFmtId="4" fontId="1" fillId="4" borderId="14" xfId="0" applyNumberFormat="1" applyFont="1" applyFill="1" applyBorder="1"/>
    <xf numFmtId="4" fontId="1" fillId="0" borderId="18" xfId="0" applyNumberFormat="1" applyFont="1" applyFill="1" applyBorder="1"/>
    <xf numFmtId="4" fontId="1" fillId="17" borderId="18" xfId="0" applyNumberFormat="1" applyFont="1" applyFill="1" applyBorder="1"/>
    <xf numFmtId="4" fontId="1" fillId="0" borderId="51" xfId="0" applyNumberFormat="1" applyFont="1" applyFill="1" applyBorder="1"/>
    <xf numFmtId="4" fontId="1" fillId="17" borderId="51" xfId="0" applyNumberFormat="1" applyFont="1" applyFill="1" applyBorder="1"/>
    <xf numFmtId="167" fontId="0" fillId="0" borderId="0" xfId="0" applyNumberFormat="1"/>
    <xf numFmtId="43" fontId="0" fillId="0" borderId="0" xfId="1" applyFont="1"/>
    <xf numFmtId="4" fontId="1" fillId="2" borderId="1" xfId="0" applyNumberFormat="1" applyFont="1" applyFill="1" applyBorder="1" applyAlignment="1">
      <alignment horizontal="right" vertical="center" wrapText="1"/>
    </xf>
    <xf numFmtId="4" fontId="0" fillId="0" borderId="82" xfId="0" applyNumberFormat="1" applyBorder="1" applyAlignment="1">
      <alignment vertical="center" wrapText="1"/>
    </xf>
    <xf numFmtId="4" fontId="1" fillId="2" borderId="82" xfId="0" applyNumberFormat="1" applyFont="1" applyFill="1" applyBorder="1" applyAlignment="1">
      <alignment vertical="center" wrapText="1"/>
    </xf>
    <xf numFmtId="0" fontId="0" fillId="0" borderId="85" xfId="0" applyBorder="1" applyAlignment="1">
      <alignment horizontal="center" vertical="center" wrapText="1"/>
    </xf>
    <xf numFmtId="4" fontId="1" fillId="2" borderId="90" xfId="0" applyNumberFormat="1" applyFont="1" applyFill="1" applyBorder="1" applyAlignment="1">
      <alignment vertical="center" wrapText="1"/>
    </xf>
    <xf numFmtId="0" fontId="0" fillId="0" borderId="86" xfId="0" applyBorder="1" applyAlignment="1">
      <alignment horizontal="center" vertical="center" wrapText="1"/>
    </xf>
    <xf numFmtId="4" fontId="0" fillId="0" borderId="90" xfId="0" applyNumberFormat="1" applyBorder="1" applyAlignment="1">
      <alignment vertical="center" wrapText="1"/>
    </xf>
    <xf numFmtId="4" fontId="0" fillId="0" borderId="1" xfId="0" applyNumberFormat="1" applyBorder="1" applyAlignment="1">
      <alignment horizontal="right" vertical="center" wrapText="1"/>
    </xf>
    <xf numFmtId="4" fontId="1" fillId="6" borderId="8" xfId="0" applyNumberFormat="1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4" fontId="0" fillId="0" borderId="1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0" fillId="0" borderId="25" xfId="0" applyBorder="1"/>
    <xf numFmtId="49" fontId="0" fillId="0" borderId="67" xfId="0" applyNumberFormat="1" applyBorder="1" applyAlignment="1">
      <alignment horizontal="left" vertical="center" wrapText="1"/>
    </xf>
    <xf numFmtId="0" fontId="0" fillId="0" borderId="68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49" fontId="0" fillId="0" borderId="89" xfId="0" applyNumberFormat="1" applyBorder="1" applyAlignment="1">
      <alignment horizontal="left" vertical="center" wrapText="1"/>
    </xf>
    <xf numFmtId="49" fontId="0" fillId="0" borderId="72" xfId="0" applyNumberFormat="1" applyBorder="1" applyAlignment="1">
      <alignment horizontal="left" vertical="center" wrapText="1"/>
    </xf>
    <xf numFmtId="0" fontId="0" fillId="0" borderId="52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168" fontId="0" fillId="0" borderId="90" xfId="0" applyNumberFormat="1" applyBorder="1" applyAlignment="1">
      <alignment vertical="center" wrapText="1"/>
    </xf>
    <xf numFmtId="168" fontId="0" fillId="0" borderId="89" xfId="0" applyNumberFormat="1" applyBorder="1" applyAlignment="1">
      <alignment vertical="center" wrapText="1"/>
    </xf>
    <xf numFmtId="168" fontId="0" fillId="0" borderId="85" xfId="0" applyNumberFormat="1" applyBorder="1" applyAlignment="1">
      <alignment vertical="center" wrapText="1"/>
    </xf>
    <xf numFmtId="168" fontId="0" fillId="0" borderId="86" xfId="0" applyNumberFormat="1" applyBorder="1" applyAlignment="1">
      <alignment vertical="center" wrapText="1"/>
    </xf>
    <xf numFmtId="168" fontId="0" fillId="0" borderId="89" xfId="0" applyNumberFormat="1" applyBorder="1"/>
    <xf numFmtId="168" fontId="0" fillId="0" borderId="90" xfId="0" applyNumberFormat="1" applyBorder="1"/>
    <xf numFmtId="168" fontId="0" fillId="0" borderId="72" xfId="0" applyNumberFormat="1" applyBorder="1"/>
    <xf numFmtId="168" fontId="0" fillId="0" borderId="73" xfId="0" applyNumberFormat="1" applyBorder="1"/>
    <xf numFmtId="0" fontId="0" fillId="0" borderId="87" xfId="0" applyBorder="1" applyAlignment="1">
      <alignment horizontal="center" vertical="center" wrapText="1"/>
    </xf>
    <xf numFmtId="49" fontId="0" fillId="0" borderId="85" xfId="0" applyNumberFormat="1" applyBorder="1" applyAlignment="1">
      <alignment horizontal="left" vertical="center" wrapText="1"/>
    </xf>
    <xf numFmtId="49" fontId="1" fillId="2" borderId="89" xfId="0" applyNumberFormat="1" applyFont="1" applyFill="1" applyBorder="1" applyAlignment="1">
      <alignment horizontal="left" vertical="center" wrapText="1"/>
    </xf>
    <xf numFmtId="49" fontId="0" fillId="0" borderId="89" xfId="0" applyNumberFormat="1" applyBorder="1" applyAlignment="1">
      <alignment vertical="center" wrapText="1"/>
    </xf>
    <xf numFmtId="49" fontId="0" fillId="0" borderId="89" xfId="0" applyNumberFormat="1" applyBorder="1"/>
    <xf numFmtId="49" fontId="0" fillId="0" borderId="72" xfId="0" applyNumberFormat="1" applyBorder="1"/>
    <xf numFmtId="0" fontId="0" fillId="0" borderId="52" xfId="0" applyBorder="1"/>
    <xf numFmtId="0" fontId="13" fillId="0" borderId="4" xfId="0" applyFont="1" applyBorder="1" applyAlignment="1">
      <alignment horizontal="center" vertical="center" wrapText="1"/>
    </xf>
    <xf numFmtId="4" fontId="0" fillId="6" borderId="51" xfId="0" applyNumberFormat="1" applyFill="1" applyBorder="1"/>
    <xf numFmtId="43" fontId="0" fillId="0" borderId="37" xfId="1" applyFont="1" applyBorder="1" applyAlignment="1">
      <alignment horizontal="right" vertical="center" wrapText="1"/>
    </xf>
    <xf numFmtId="43" fontId="1" fillId="7" borderId="43" xfId="1" applyFont="1" applyFill="1" applyBorder="1" applyAlignment="1">
      <alignment horizontal="right" vertical="center" wrapText="1"/>
    </xf>
    <xf numFmtId="43" fontId="1" fillId="7" borderId="40" xfId="1" applyFont="1" applyFill="1" applyBorder="1" applyAlignment="1">
      <alignment horizontal="right" vertical="center" wrapText="1"/>
    </xf>
    <xf numFmtId="43" fontId="0" fillId="7" borderId="40" xfId="1" applyFont="1" applyFill="1" applyBorder="1" applyAlignment="1">
      <alignment horizontal="right" vertical="center" wrapText="1"/>
    </xf>
    <xf numFmtId="43" fontId="0" fillId="0" borderId="3" xfId="1" applyFont="1" applyBorder="1" applyAlignment="1">
      <alignment horizontal="right" vertical="center" wrapText="1"/>
    </xf>
    <xf numFmtId="43" fontId="0" fillId="0" borderId="1" xfId="1" applyFont="1" applyBorder="1" applyAlignment="1">
      <alignment horizontal="right" vertical="center" wrapText="1"/>
    </xf>
    <xf numFmtId="43" fontId="1" fillId="2" borderId="14" xfId="1" applyFont="1" applyFill="1" applyBorder="1" applyAlignment="1">
      <alignment horizontal="right"/>
    </xf>
    <xf numFmtId="43" fontId="1" fillId="0" borderId="14" xfId="1" applyFont="1" applyFill="1" applyBorder="1" applyAlignment="1">
      <alignment horizontal="right"/>
    </xf>
    <xf numFmtId="43" fontId="0" fillId="0" borderId="14" xfId="1" applyFont="1" applyBorder="1" applyAlignment="1">
      <alignment horizontal="right"/>
    </xf>
    <xf numFmtId="43" fontId="0" fillId="0" borderId="34" xfId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20" xfId="0" applyFont="1" applyBorder="1" applyAlignment="1">
      <alignment horizontal="right" vertical="center" wrapText="1"/>
    </xf>
    <xf numFmtId="0" fontId="0" fillId="0" borderId="18" xfId="0" applyBorder="1" applyAlignment="1">
      <alignment horizontal="right" vertical="center" wrapText="1"/>
    </xf>
    <xf numFmtId="0" fontId="0" fillId="0" borderId="50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0" fillId="0" borderId="5" xfId="0" applyFill="1" applyBorder="1" applyAlignment="1">
      <alignment horizontal="right" vertical="center" wrapText="1"/>
    </xf>
    <xf numFmtId="43" fontId="0" fillId="0" borderId="14" xfId="1" applyFont="1" applyBorder="1" applyAlignment="1">
      <alignment horizontal="right" vertical="center" wrapText="1"/>
    </xf>
    <xf numFmtId="43" fontId="0" fillId="0" borderId="22" xfId="1" applyFont="1" applyBorder="1" applyAlignment="1">
      <alignment horizontal="right" vertical="center" wrapText="1"/>
    </xf>
    <xf numFmtId="43" fontId="0" fillId="0" borderId="4" xfId="1" applyFont="1" applyBorder="1" applyAlignment="1">
      <alignment horizontal="right"/>
    </xf>
    <xf numFmtId="43" fontId="0" fillId="0" borderId="12" xfId="1" applyFont="1" applyBorder="1" applyAlignment="1">
      <alignment horizontal="right"/>
    </xf>
    <xf numFmtId="43" fontId="0" fillId="2" borderId="14" xfId="1" applyFont="1" applyFill="1" applyBorder="1" applyAlignment="1">
      <alignment horizontal="right" vertical="center" wrapText="1"/>
    </xf>
    <xf numFmtId="43" fontId="1" fillId="7" borderId="36" xfId="1" applyFont="1" applyFill="1" applyBorder="1" applyAlignment="1">
      <alignment horizontal="right" vertical="center" wrapText="1"/>
    </xf>
    <xf numFmtId="43" fontId="1" fillId="7" borderId="59" xfId="1" applyFont="1" applyFill="1" applyBorder="1" applyAlignment="1">
      <alignment horizontal="right" vertical="center" wrapText="1"/>
    </xf>
    <xf numFmtId="43" fontId="0" fillId="0" borderId="33" xfId="1" applyFont="1" applyBorder="1" applyAlignment="1">
      <alignment horizontal="right" vertical="center" wrapText="1"/>
    </xf>
    <xf numFmtId="43" fontId="0" fillId="0" borderId="61" xfId="1" applyFont="1" applyBorder="1" applyAlignment="1">
      <alignment horizontal="right" vertical="center" wrapText="1"/>
    </xf>
    <xf numFmtId="43" fontId="0" fillId="0" borderId="65" xfId="1" applyFont="1" applyBorder="1" applyAlignment="1">
      <alignment horizontal="right" vertical="center" wrapText="1"/>
    </xf>
    <xf numFmtId="43" fontId="0" fillId="0" borderId="62" xfId="1" applyFont="1" applyBorder="1" applyAlignment="1">
      <alignment horizontal="right" vertical="center" wrapText="1"/>
    </xf>
    <xf numFmtId="43" fontId="0" fillId="0" borderId="63" xfId="1" applyFont="1" applyBorder="1" applyAlignment="1">
      <alignment horizontal="right" vertical="center" wrapText="1"/>
    </xf>
    <xf numFmtId="43" fontId="1" fillId="7" borderId="44" xfId="1" applyFont="1" applyFill="1" applyBorder="1" applyAlignment="1">
      <alignment horizontal="right" vertical="center" wrapText="1"/>
    </xf>
    <xf numFmtId="43" fontId="0" fillId="0" borderId="30" xfId="1" applyFont="1" applyBorder="1" applyAlignment="1">
      <alignment horizontal="right" vertical="center" wrapText="1"/>
    </xf>
    <xf numFmtId="43" fontId="0" fillId="0" borderId="39" xfId="1" applyFont="1" applyBorder="1" applyAlignment="1">
      <alignment horizontal="right" vertical="center" wrapText="1"/>
    </xf>
    <xf numFmtId="43" fontId="1" fillId="7" borderId="42" xfId="1" applyFont="1" applyFill="1" applyBorder="1" applyAlignment="1">
      <alignment horizontal="right" vertical="center" wrapText="1"/>
    </xf>
    <xf numFmtId="43" fontId="1" fillId="7" borderId="60" xfId="1" applyFont="1" applyFill="1" applyBorder="1" applyAlignment="1">
      <alignment horizontal="right" vertical="center" wrapText="1"/>
    </xf>
    <xf numFmtId="43" fontId="0" fillId="0" borderId="33" xfId="1" applyFont="1" applyBorder="1" applyAlignment="1">
      <alignment horizontal="right"/>
    </xf>
    <xf numFmtId="43" fontId="0" fillId="0" borderId="61" xfId="1" applyFont="1" applyBorder="1" applyAlignment="1">
      <alignment horizontal="right"/>
    </xf>
    <xf numFmtId="43" fontId="1" fillId="7" borderId="44" xfId="1" applyFont="1" applyFill="1" applyBorder="1" applyAlignment="1">
      <alignment horizontal="right"/>
    </xf>
    <xf numFmtId="43" fontId="1" fillId="7" borderId="64" xfId="1" applyFont="1" applyFill="1" applyBorder="1" applyAlignment="1">
      <alignment horizontal="right"/>
    </xf>
    <xf numFmtId="43" fontId="0" fillId="0" borderId="30" xfId="1" applyFont="1" applyBorder="1" applyAlignment="1">
      <alignment horizontal="right"/>
    </xf>
    <xf numFmtId="43" fontId="0" fillId="0" borderId="62" xfId="1" applyFont="1" applyBorder="1" applyAlignment="1">
      <alignment horizontal="right"/>
    </xf>
    <xf numFmtId="43" fontId="0" fillId="0" borderId="66" xfId="1" applyFont="1" applyBorder="1" applyAlignment="1">
      <alignment horizontal="right" vertical="center" wrapText="1"/>
    </xf>
    <xf numFmtId="43" fontId="0" fillId="0" borderId="63" xfId="1" applyFont="1" applyBorder="1" applyAlignment="1">
      <alignment horizontal="right"/>
    </xf>
    <xf numFmtId="43" fontId="0" fillId="0" borderId="39" xfId="1" applyFont="1" applyBorder="1" applyAlignment="1">
      <alignment horizontal="right"/>
    </xf>
    <xf numFmtId="43" fontId="1" fillId="7" borderId="42" xfId="1" applyFont="1" applyFill="1" applyBorder="1" applyAlignment="1">
      <alignment horizontal="right"/>
    </xf>
    <xf numFmtId="43" fontId="1" fillId="7" borderId="60" xfId="1" applyFont="1" applyFill="1" applyBorder="1" applyAlignment="1">
      <alignment horizontal="right"/>
    </xf>
    <xf numFmtId="43" fontId="3" fillId="7" borderId="60" xfId="1" applyFont="1" applyFill="1" applyBorder="1" applyAlignment="1">
      <alignment horizontal="right" vertical="center" wrapText="1"/>
    </xf>
    <xf numFmtId="43" fontId="3" fillId="7" borderId="42" xfId="1" applyFont="1" applyFill="1" applyBorder="1" applyAlignment="1">
      <alignment horizontal="right" vertical="center" wrapText="1"/>
    </xf>
    <xf numFmtId="43" fontId="0" fillId="0" borderId="33" xfId="1" applyFont="1" applyFill="1" applyBorder="1" applyAlignment="1">
      <alignment horizontal="right"/>
    </xf>
    <xf numFmtId="43" fontId="0" fillId="0" borderId="61" xfId="1" applyFont="1" applyFill="1" applyBorder="1" applyAlignment="1">
      <alignment horizontal="right"/>
    </xf>
    <xf numFmtId="43" fontId="0" fillId="0" borderId="0" xfId="1" applyFont="1" applyFill="1" applyBorder="1" applyAlignment="1">
      <alignment horizontal="right"/>
    </xf>
    <xf numFmtId="43" fontId="0" fillId="0" borderId="19" xfId="1" applyFont="1" applyFill="1" applyBorder="1" applyAlignment="1">
      <alignment horizontal="right"/>
    </xf>
    <xf numFmtId="43" fontId="1" fillId="7" borderId="30" xfId="1" applyFont="1" applyFill="1" applyBorder="1" applyAlignment="1">
      <alignment horizontal="right"/>
    </xf>
    <xf numFmtId="43" fontId="1" fillId="7" borderId="62" xfId="1" applyFont="1" applyFill="1" applyBorder="1" applyAlignment="1">
      <alignment horizontal="right"/>
    </xf>
    <xf numFmtId="43" fontId="3" fillId="2" borderId="4" xfId="1" applyFont="1" applyFill="1" applyBorder="1" applyAlignment="1">
      <alignment horizontal="right" vertical="center" wrapText="1"/>
    </xf>
    <xf numFmtId="43" fontId="3" fillId="2" borderId="20" xfId="1" applyFont="1" applyFill="1" applyBorder="1" applyAlignment="1">
      <alignment horizontal="right" vertical="center" wrapText="1"/>
    </xf>
    <xf numFmtId="43" fontId="3" fillId="7" borderId="5" xfId="1" applyFont="1" applyFill="1" applyBorder="1" applyAlignment="1">
      <alignment horizontal="right" vertical="center" wrapText="1"/>
    </xf>
    <xf numFmtId="43" fontId="3" fillId="7" borderId="7" xfId="1" applyFont="1" applyFill="1" applyBorder="1" applyAlignment="1">
      <alignment horizontal="right" vertical="center" wrapText="1"/>
    </xf>
    <xf numFmtId="43" fontId="1" fillId="7" borderId="36" xfId="1" applyFont="1" applyFill="1" applyBorder="1" applyAlignment="1">
      <alignment horizontal="right"/>
    </xf>
    <xf numFmtId="43" fontId="1" fillId="7" borderId="59" xfId="1" applyFont="1" applyFill="1" applyBorder="1" applyAlignment="1">
      <alignment horizontal="right"/>
    </xf>
    <xf numFmtId="43" fontId="1" fillId="7" borderId="33" xfId="1" applyFont="1" applyFill="1" applyBorder="1" applyAlignment="1">
      <alignment horizontal="right"/>
    </xf>
    <xf numFmtId="43" fontId="1" fillId="7" borderId="61" xfId="1" applyFont="1" applyFill="1" applyBorder="1" applyAlignment="1">
      <alignment horizontal="right"/>
    </xf>
    <xf numFmtId="43" fontId="1" fillId="2" borderId="4" xfId="1" applyFont="1" applyFill="1" applyBorder="1" applyAlignment="1">
      <alignment horizontal="right"/>
    </xf>
    <xf numFmtId="43" fontId="1" fillId="7" borderId="19" xfId="1" applyFont="1" applyFill="1" applyBorder="1" applyAlignment="1">
      <alignment horizontal="right" vertical="center" wrapText="1"/>
    </xf>
    <xf numFmtId="43" fontId="1" fillId="7" borderId="0" xfId="1" applyFont="1" applyFill="1" applyBorder="1" applyAlignment="1">
      <alignment horizontal="right" vertical="center" wrapText="1"/>
    </xf>
    <xf numFmtId="43" fontId="1" fillId="7" borderId="19" xfId="1" applyFont="1" applyFill="1" applyBorder="1" applyAlignment="1">
      <alignment horizontal="right"/>
    </xf>
    <xf numFmtId="43" fontId="1" fillId="7" borderId="46" xfId="1" applyFont="1" applyFill="1" applyBorder="1" applyAlignment="1">
      <alignment horizontal="right"/>
    </xf>
    <xf numFmtId="43" fontId="1" fillId="7" borderId="47" xfId="1" applyFont="1" applyFill="1" applyBorder="1" applyAlignment="1">
      <alignment horizontal="right"/>
    </xf>
    <xf numFmtId="43" fontId="1" fillId="7" borderId="48" xfId="1" applyFont="1" applyFill="1" applyBorder="1" applyAlignment="1">
      <alignment horizontal="right"/>
    </xf>
    <xf numFmtId="43" fontId="0" fillId="0" borderId="4" xfId="1" applyFont="1" applyFill="1" applyBorder="1" applyAlignment="1">
      <alignment horizontal="right"/>
    </xf>
    <xf numFmtId="43" fontId="0" fillId="0" borderId="12" xfId="1" applyFont="1" applyFill="1" applyBorder="1" applyAlignment="1">
      <alignment horizontal="right"/>
    </xf>
    <xf numFmtId="43" fontId="0" fillId="0" borderId="36" xfId="1" applyFont="1" applyBorder="1" applyAlignment="1">
      <alignment horizontal="right"/>
    </xf>
    <xf numFmtId="43" fontId="0" fillId="0" borderId="49" xfId="1" applyFont="1" applyBorder="1" applyAlignment="1">
      <alignment horizontal="right"/>
    </xf>
    <xf numFmtId="10" fontId="0" fillId="0" borderId="0" xfId="0" applyNumberFormat="1" applyBorder="1" applyAlignment="1">
      <alignment horizontal="right"/>
    </xf>
    <xf numFmtId="0" fontId="0" fillId="6" borderId="1" xfId="0" applyFill="1" applyBorder="1" applyAlignment="1">
      <alignment horizontal="right"/>
    </xf>
    <xf numFmtId="0" fontId="1" fillId="6" borderId="9" xfId="0" applyFont="1" applyFill="1" applyBorder="1"/>
    <xf numFmtId="0" fontId="0" fillId="17" borderId="1" xfId="0" applyFill="1" applyBorder="1" applyAlignment="1">
      <alignment horizontal="center"/>
    </xf>
    <xf numFmtId="43" fontId="0" fillId="0" borderId="37" xfId="1" applyFont="1" applyBorder="1" applyAlignment="1">
      <alignment vertical="center" wrapText="1"/>
    </xf>
    <xf numFmtId="43" fontId="1" fillId="7" borderId="43" xfId="1" applyFont="1" applyFill="1" applyBorder="1" applyAlignment="1">
      <alignment vertical="center" wrapText="1"/>
    </xf>
    <xf numFmtId="43" fontId="1" fillId="7" borderId="40" xfId="1" applyFont="1" applyFill="1" applyBorder="1" applyAlignment="1">
      <alignment vertical="center" wrapText="1"/>
    </xf>
    <xf numFmtId="43" fontId="0" fillId="7" borderId="40" xfId="1" applyFont="1" applyFill="1" applyBorder="1" applyAlignment="1">
      <alignment vertical="center" wrapText="1"/>
    </xf>
    <xf numFmtId="43" fontId="0" fillId="0" borderId="3" xfId="1" applyFont="1" applyBorder="1" applyAlignment="1">
      <alignment vertical="center" wrapText="1"/>
    </xf>
    <xf numFmtId="43" fontId="0" fillId="0" borderId="23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0" fillId="0" borderId="2" xfId="1" applyFont="1" applyBorder="1" applyAlignment="1">
      <alignment vertical="center" wrapText="1"/>
    </xf>
    <xf numFmtId="43" fontId="1" fillId="7" borderId="34" xfId="1" applyFont="1" applyFill="1" applyBorder="1" applyAlignment="1">
      <alignment vertical="center" wrapText="1"/>
    </xf>
    <xf numFmtId="43" fontId="1" fillId="2" borderId="14" xfId="1" applyFont="1" applyFill="1" applyBorder="1" applyAlignment="1">
      <alignment vertical="center" wrapText="1"/>
    </xf>
    <xf numFmtId="43" fontId="0" fillId="7" borderId="34" xfId="1" applyFont="1" applyFill="1" applyBorder="1" applyAlignment="1">
      <alignment vertical="center" wrapText="1"/>
    </xf>
    <xf numFmtId="43" fontId="2" fillId="0" borderId="37" xfId="1" applyFont="1" applyBorder="1" applyAlignment="1">
      <alignment vertical="center" wrapText="1"/>
    </xf>
    <xf numFmtId="43" fontId="3" fillId="7" borderId="40" xfId="1" applyFont="1" applyFill="1" applyBorder="1" applyAlignment="1">
      <alignment vertical="center" wrapText="1"/>
    </xf>
    <xf numFmtId="43" fontId="3" fillId="7" borderId="41" xfId="1" applyFont="1" applyFill="1" applyBorder="1" applyAlignment="1">
      <alignment vertical="center" wrapText="1"/>
    </xf>
    <xf numFmtId="43" fontId="2" fillId="0" borderId="3" xfId="1" applyFont="1" applyFill="1" applyBorder="1" applyAlignment="1">
      <alignment vertical="center" wrapText="1"/>
    </xf>
    <xf numFmtId="43" fontId="2" fillId="0" borderId="24" xfId="1" applyFont="1" applyFill="1" applyBorder="1" applyAlignment="1">
      <alignment vertical="center" wrapText="1"/>
    </xf>
    <xf numFmtId="43" fontId="2" fillId="0" borderId="1" xfId="1" applyFont="1" applyFill="1" applyBorder="1" applyAlignment="1">
      <alignment vertical="center" wrapText="1"/>
    </xf>
    <xf numFmtId="43" fontId="3" fillId="2" borderId="51" xfId="1" applyFont="1" applyFill="1" applyBorder="1" applyAlignment="1">
      <alignment vertical="center" wrapText="1"/>
    </xf>
    <xf numFmtId="43" fontId="3" fillId="7" borderId="15" xfId="1" applyFont="1" applyFill="1" applyBorder="1" applyAlignment="1">
      <alignment vertical="center" wrapText="1"/>
    </xf>
    <xf numFmtId="43" fontId="3" fillId="2" borderId="14" xfId="1" applyFont="1" applyFill="1" applyBorder="1" applyAlignment="1">
      <alignment vertical="center" wrapText="1"/>
    </xf>
    <xf numFmtId="43" fontId="1" fillId="7" borderId="34" xfId="1" applyFont="1" applyFill="1" applyBorder="1" applyAlignment="1"/>
    <xf numFmtId="43" fontId="1" fillId="7" borderId="54" xfId="1" applyFont="1" applyFill="1" applyBorder="1" applyAlignment="1"/>
    <xf numFmtId="43" fontId="1" fillId="7" borderId="40" xfId="1" applyFont="1" applyFill="1" applyBorder="1" applyAlignment="1"/>
    <xf numFmtId="43" fontId="1" fillId="7" borderId="55" xfId="1" applyFont="1" applyFill="1" applyBorder="1" applyAlignment="1"/>
    <xf numFmtId="43" fontId="1" fillId="7" borderId="15" xfId="1" applyFont="1" applyFill="1" applyBorder="1" applyAlignment="1"/>
    <xf numFmtId="43" fontId="1" fillId="7" borderId="57" xfId="1" applyFont="1" applyFill="1" applyBorder="1" applyAlignment="1"/>
    <xf numFmtId="43" fontId="1" fillId="7" borderId="56" xfId="1" applyFont="1" applyFill="1" applyBorder="1" applyAlignment="1"/>
    <xf numFmtId="43" fontId="1" fillId="2" borderId="14" xfId="1" applyFont="1" applyFill="1" applyBorder="1" applyAlignment="1"/>
    <xf numFmtId="43" fontId="1" fillId="7" borderId="15" xfId="1" applyFont="1" applyFill="1" applyBorder="1" applyAlignment="1">
      <alignment vertical="center" wrapText="1"/>
    </xf>
    <xf numFmtId="43" fontId="1" fillId="0" borderId="14" xfId="1" applyFont="1" applyFill="1" applyBorder="1" applyAlignment="1"/>
    <xf numFmtId="43" fontId="0" fillId="0" borderId="14" xfId="1" applyFont="1" applyFill="1" applyBorder="1" applyAlignment="1"/>
    <xf numFmtId="43" fontId="0" fillId="0" borderId="14" xfId="1" applyFont="1" applyBorder="1" applyAlignment="1"/>
    <xf numFmtId="43" fontId="0" fillId="0" borderId="34" xfId="1" applyFont="1" applyBorder="1" applyAlignment="1"/>
    <xf numFmtId="43" fontId="0" fillId="0" borderId="65" xfId="1" applyFont="1" applyBorder="1" applyAlignment="1">
      <alignment horizontal="right"/>
    </xf>
    <xf numFmtId="43" fontId="0" fillId="0" borderId="66" xfId="1" applyFont="1" applyBorder="1" applyAlignment="1">
      <alignment horizontal="right"/>
    </xf>
    <xf numFmtId="43" fontId="4" fillId="2" borderId="14" xfId="1" applyFont="1" applyFill="1" applyBorder="1" applyAlignment="1">
      <alignment vertical="center" wrapText="1"/>
    </xf>
    <xf numFmtId="0" fontId="0" fillId="0" borderId="24" xfId="0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30" fillId="0" borderId="0" xfId="3" applyFont="1"/>
    <xf numFmtId="0" fontId="29" fillId="0" borderId="0" xfId="3"/>
    <xf numFmtId="0" fontId="31" fillId="0" borderId="0" xfId="3" applyFont="1"/>
    <xf numFmtId="0" fontId="32" fillId="18" borderId="8" xfId="3" applyFont="1" applyFill="1" applyBorder="1" applyAlignment="1">
      <alignment wrapText="1"/>
    </xf>
    <xf numFmtId="0" fontId="32" fillId="18" borderId="14" xfId="3" applyFont="1" applyFill="1" applyBorder="1" applyAlignment="1">
      <alignment wrapText="1"/>
    </xf>
    <xf numFmtId="0" fontId="32" fillId="18" borderId="9" xfId="3" applyFont="1" applyFill="1" applyBorder="1" applyAlignment="1">
      <alignment wrapText="1"/>
    </xf>
    <xf numFmtId="0" fontId="33" fillId="0" borderId="67" xfId="3" applyFont="1" applyFill="1" applyBorder="1" applyAlignment="1">
      <alignment wrapText="1"/>
    </xf>
    <xf numFmtId="0" fontId="32" fillId="0" borderId="68" xfId="3" applyFont="1" applyFill="1" applyBorder="1" applyAlignment="1">
      <alignment wrapText="1"/>
    </xf>
    <xf numFmtId="0" fontId="32" fillId="0" borderId="71" xfId="3" applyFont="1" applyFill="1" applyBorder="1"/>
    <xf numFmtId="0" fontId="32" fillId="0" borderId="89" xfId="3" applyFont="1" applyBorder="1"/>
    <xf numFmtId="4" fontId="32" fillId="0" borderId="1" xfId="3" applyNumberFormat="1" applyFont="1" applyBorder="1"/>
    <xf numFmtId="4" fontId="32" fillId="0" borderId="90" xfId="3" applyNumberFormat="1" applyFont="1" applyBorder="1"/>
    <xf numFmtId="0" fontId="32" fillId="0" borderId="89" xfId="3" applyFont="1" applyBorder="1" applyAlignment="1">
      <alignment wrapText="1"/>
    </xf>
    <xf numFmtId="0" fontId="32" fillId="0" borderId="72" xfId="3" applyFont="1" applyBorder="1"/>
    <xf numFmtId="4" fontId="32" fillId="0" borderId="52" xfId="3" applyNumberFormat="1" applyFont="1" applyBorder="1"/>
    <xf numFmtId="4" fontId="32" fillId="0" borderId="73" xfId="3" applyNumberFormat="1" applyFont="1" applyBorder="1"/>
    <xf numFmtId="0" fontId="32" fillId="17" borderId="89" xfId="3" applyFont="1" applyFill="1" applyBorder="1"/>
    <xf numFmtId="4" fontId="32" fillId="17" borderId="1" xfId="3" applyNumberFormat="1" applyFont="1" applyFill="1" applyBorder="1"/>
    <xf numFmtId="4" fontId="32" fillId="17" borderId="90" xfId="3" applyNumberFormat="1" applyFont="1" applyFill="1" applyBorder="1"/>
    <xf numFmtId="0" fontId="32" fillId="17" borderId="89" xfId="3" applyFont="1" applyFill="1" applyBorder="1" applyAlignment="1">
      <alignment wrapText="1"/>
    </xf>
    <xf numFmtId="0" fontId="32" fillId="17" borderId="91" xfId="3" applyFont="1" applyFill="1" applyBorder="1"/>
    <xf numFmtId="4" fontId="32" fillId="17" borderId="2" xfId="3" applyNumberFormat="1" applyFont="1" applyFill="1" applyBorder="1"/>
    <xf numFmtId="4" fontId="32" fillId="17" borderId="92" xfId="3" applyNumberFormat="1" applyFont="1" applyFill="1" applyBorder="1"/>
    <xf numFmtId="0" fontId="32" fillId="18" borderId="67" xfId="3" applyFont="1" applyFill="1" applyBorder="1"/>
    <xf numFmtId="4" fontId="32" fillId="18" borderId="68" xfId="3" applyNumberFormat="1" applyFont="1" applyFill="1" applyBorder="1"/>
    <xf numFmtId="4" fontId="32" fillId="18" borderId="71" xfId="3" applyNumberFormat="1" applyFont="1" applyFill="1" applyBorder="1"/>
    <xf numFmtId="0" fontId="32" fillId="18" borderId="89" xfId="3" applyFont="1" applyFill="1" applyBorder="1"/>
    <xf numFmtId="4" fontId="32" fillId="18" borderId="1" xfId="3" applyNumberFormat="1" applyFont="1" applyFill="1" applyBorder="1"/>
    <xf numFmtId="4" fontId="32" fillId="18" borderId="90" xfId="3" applyNumberFormat="1" applyFont="1" applyFill="1" applyBorder="1"/>
    <xf numFmtId="0" fontId="32" fillId="18" borderId="72" xfId="3" applyFont="1" applyFill="1" applyBorder="1"/>
    <xf numFmtId="4" fontId="32" fillId="18" borderId="52" xfId="3" applyNumberFormat="1" applyFont="1" applyFill="1" applyBorder="1"/>
    <xf numFmtId="4" fontId="33" fillId="18" borderId="73" xfId="3" applyNumberFormat="1" applyFont="1" applyFill="1" applyBorder="1"/>
    <xf numFmtId="4" fontId="31" fillId="0" borderId="0" xfId="3" applyNumberFormat="1" applyFont="1"/>
    <xf numFmtId="4" fontId="30" fillId="0" borderId="0" xfId="3" applyNumberFormat="1" applyFont="1"/>
    <xf numFmtId="0" fontId="33" fillId="0" borderId="87" xfId="3" applyFont="1" applyFill="1" applyBorder="1" applyAlignment="1">
      <alignment wrapText="1"/>
    </xf>
    <xf numFmtId="0" fontId="32" fillId="0" borderId="88" xfId="3" applyFont="1" applyFill="1" applyBorder="1"/>
    <xf numFmtId="0" fontId="32" fillId="0" borderId="3" xfId="3" applyFont="1" applyFill="1" applyBorder="1" applyAlignment="1">
      <alignment wrapText="1"/>
    </xf>
    <xf numFmtId="4" fontId="29" fillId="0" borderId="0" xfId="3" applyNumberFormat="1"/>
    <xf numFmtId="0" fontId="33" fillId="19" borderId="8" xfId="3" applyFont="1" applyFill="1" applyBorder="1" applyAlignment="1">
      <alignment wrapText="1"/>
    </xf>
    <xf numFmtId="0" fontId="33" fillId="19" borderId="8" xfId="3" applyFont="1" applyFill="1" applyBorder="1"/>
    <xf numFmtId="4" fontId="33" fillId="19" borderId="4" xfId="3" applyNumberFormat="1" applyFont="1" applyFill="1" applyBorder="1"/>
    <xf numFmtId="0" fontId="34" fillId="0" borderId="0" xfId="3" applyFont="1"/>
    <xf numFmtId="0" fontId="34" fillId="0" borderId="1" xfId="3" applyFont="1" applyBorder="1"/>
    <xf numFmtId="0" fontId="34" fillId="3" borderId="1" xfId="3" applyFont="1" applyFill="1" applyBorder="1" applyAlignment="1">
      <alignment wrapText="1"/>
    </xf>
    <xf numFmtId="0" fontId="34" fillId="3" borderId="1" xfId="3" applyFont="1" applyFill="1" applyBorder="1"/>
    <xf numFmtId="4" fontId="34" fillId="3" borderId="1" xfId="3" applyNumberFormat="1" applyFont="1" applyFill="1" applyBorder="1"/>
    <xf numFmtId="4" fontId="34" fillId="0" borderId="1" xfId="3" applyNumberFormat="1" applyFont="1" applyBorder="1"/>
    <xf numFmtId="0" fontId="29" fillId="0" borderId="1" xfId="3" applyBorder="1"/>
    <xf numFmtId="4" fontId="32" fillId="0" borderId="88" xfId="3" applyNumberFormat="1" applyFont="1" applyFill="1" applyBorder="1"/>
    <xf numFmtId="4" fontId="32" fillId="0" borderId="68" xfId="3" applyNumberFormat="1" applyFont="1" applyFill="1" applyBorder="1" applyAlignment="1">
      <alignment wrapText="1"/>
    </xf>
    <xf numFmtId="4" fontId="32" fillId="0" borderId="71" xfId="3" applyNumberFormat="1" applyFont="1" applyFill="1" applyBorder="1"/>
    <xf numFmtId="4" fontId="32" fillId="0" borderId="3" xfId="3" applyNumberFormat="1" applyFont="1" applyFill="1" applyBorder="1" applyAlignment="1">
      <alignment wrapText="1"/>
    </xf>
    <xf numFmtId="0" fontId="33" fillId="0" borderId="0" xfId="3" applyFont="1"/>
    <xf numFmtId="0" fontId="32" fillId="0" borderId="0" xfId="3" applyFont="1"/>
    <xf numFmtId="0" fontId="35" fillId="0" borderId="0" xfId="3" applyFont="1"/>
    <xf numFmtId="0" fontId="32" fillId="0" borderId="1" xfId="3" applyFont="1" applyBorder="1"/>
    <xf numFmtId="0" fontId="32" fillId="0" borderId="1" xfId="3" applyFont="1" applyBorder="1" applyAlignment="1">
      <alignment wrapText="1"/>
    </xf>
    <xf numFmtId="9" fontId="32" fillId="0" borderId="1" xfId="3" applyNumberFormat="1" applyFont="1" applyBorder="1"/>
    <xf numFmtId="4" fontId="33" fillId="0" borderId="1" xfId="3" applyNumberFormat="1" applyFont="1" applyBorder="1"/>
    <xf numFmtId="0" fontId="33" fillId="0" borderId="1" xfId="3" applyFont="1" applyBorder="1" applyAlignment="1">
      <alignment wrapText="1"/>
    </xf>
    <xf numFmtId="9" fontId="33" fillId="0" borderId="1" xfId="3" applyNumberFormat="1" applyFont="1" applyBorder="1"/>
    <xf numFmtId="0" fontId="3" fillId="20" borderId="34" xfId="0" applyFont="1" applyFill="1" applyBorder="1" applyAlignment="1">
      <alignment vertical="center" wrapText="1"/>
    </xf>
    <xf numFmtId="0" fontId="1" fillId="20" borderId="34" xfId="0" applyFont="1" applyFill="1" applyBorder="1" applyAlignment="1">
      <alignment horizontal="center"/>
    </xf>
    <xf numFmtId="49" fontId="1" fillId="21" borderId="34" xfId="0" applyNumberFormat="1" applyFont="1" applyFill="1" applyBorder="1" applyAlignment="1">
      <alignment vertical="center" wrapText="1"/>
    </xf>
    <xf numFmtId="0" fontId="3" fillId="21" borderId="34" xfId="0" applyFont="1" applyFill="1" applyBorder="1" applyAlignment="1">
      <alignment vertical="center" wrapText="1"/>
    </xf>
    <xf numFmtId="0" fontId="1" fillId="21" borderId="34" xfId="0" applyFont="1" applyFill="1" applyBorder="1" applyAlignment="1">
      <alignment horizontal="center" vertical="center"/>
    </xf>
    <xf numFmtId="43" fontId="1" fillId="21" borderId="34" xfId="1" applyFont="1" applyFill="1" applyBorder="1" applyAlignment="1"/>
    <xf numFmtId="43" fontId="1" fillId="21" borderId="54" xfId="1" applyFont="1" applyFill="1" applyBorder="1" applyAlignment="1"/>
    <xf numFmtId="43" fontId="37" fillId="0" borderId="3" xfId="4" applyFont="1" applyBorder="1" applyAlignment="1">
      <alignment horizontal="center" vertical="center"/>
    </xf>
    <xf numFmtId="0" fontId="37" fillId="0" borderId="0" xfId="3" applyFont="1" applyBorder="1" applyAlignment="1">
      <alignment horizontal="center" vertical="center" wrapText="1"/>
    </xf>
    <xf numFmtId="14" fontId="37" fillId="0" borderId="0" xfId="3" applyNumberFormat="1" applyFont="1" applyBorder="1" applyAlignment="1">
      <alignment horizontal="center" vertical="center" wrapText="1"/>
    </xf>
    <xf numFmtId="0" fontId="37" fillId="0" borderId="0" xfId="3" applyFont="1" applyBorder="1" applyAlignment="1">
      <alignment horizontal="center" vertical="center"/>
    </xf>
    <xf numFmtId="0" fontId="37" fillId="0" borderId="0" xfId="3" applyFont="1" applyBorder="1" applyAlignment="1">
      <alignment vertical="center" wrapText="1"/>
    </xf>
    <xf numFmtId="43" fontId="37" fillId="0" borderId="0" xfId="3" applyNumberFormat="1" applyFont="1" applyBorder="1" applyAlignment="1">
      <alignment horizontal="center" vertical="center"/>
    </xf>
    <xf numFmtId="0" fontId="26" fillId="0" borderId="0" xfId="3" applyFont="1" applyAlignment="1">
      <alignment vertical="center"/>
    </xf>
    <xf numFmtId="43" fontId="29" fillId="0" borderId="0" xfId="3" applyNumberFormat="1"/>
    <xf numFmtId="0" fontId="37" fillId="0" borderId="0" xfId="3" applyFont="1" applyAlignment="1">
      <alignment horizontal="center" vertical="center"/>
    </xf>
    <xf numFmtId="4" fontId="34" fillId="0" borderId="1" xfId="3" applyNumberFormat="1" applyFont="1" applyBorder="1" applyAlignment="1">
      <alignment horizontal="right"/>
    </xf>
    <xf numFmtId="0" fontId="34" fillId="0" borderId="8" xfId="3" applyFont="1" applyBorder="1"/>
    <xf numFmtId="4" fontId="34" fillId="0" borderId="14" xfId="3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1" fillId="0" borderId="24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6" fillId="5" borderId="1" xfId="0" applyFont="1" applyFill="1" applyBorder="1" applyAlignment="1">
      <alignment horizontal="center" vertical="center"/>
    </xf>
    <xf numFmtId="0" fontId="47" fillId="5" borderId="1" xfId="0" applyFont="1" applyFill="1" applyBorder="1" applyAlignment="1">
      <alignment horizontal="justify" vertical="center" wrapText="1"/>
    </xf>
    <xf numFmtId="0" fontId="48" fillId="5" borderId="1" xfId="0" applyFont="1" applyFill="1" applyBorder="1" applyAlignment="1">
      <alignment vertical="center"/>
    </xf>
    <xf numFmtId="0" fontId="47" fillId="5" borderId="1" xfId="0" applyFont="1" applyFill="1" applyBorder="1" applyAlignment="1">
      <alignment horizontal="justify" vertical="center"/>
    </xf>
    <xf numFmtId="0" fontId="0" fillId="5" borderId="0" xfId="0" applyFill="1"/>
    <xf numFmtId="0" fontId="40" fillId="0" borderId="1" xfId="0" applyFont="1" applyBorder="1" applyAlignment="1">
      <alignment horizontal="left" vertical="center" wrapText="1" indent="1"/>
    </xf>
    <xf numFmtId="167" fontId="49" fillId="0" borderId="1" xfId="0" applyNumberFormat="1" applyFont="1" applyBorder="1" applyAlignment="1">
      <alignment horizontal="center" wrapText="1"/>
    </xf>
    <xf numFmtId="167" fontId="45" fillId="0" borderId="1" xfId="0" applyNumberFormat="1" applyFont="1" applyFill="1" applyBorder="1" applyAlignment="1">
      <alignment horizontal="center" wrapText="1"/>
    </xf>
    <xf numFmtId="167" fontId="45" fillId="0" borderId="1" xfId="0" applyNumberFormat="1" applyFont="1" applyBorder="1" applyAlignment="1">
      <alignment horizontal="center" wrapText="1"/>
    </xf>
    <xf numFmtId="0" fontId="40" fillId="0" borderId="1" xfId="0" applyFont="1" applyBorder="1" applyAlignment="1">
      <alignment horizontal="left" vertical="center" wrapText="1" indent="2"/>
    </xf>
    <xf numFmtId="167" fontId="50" fillId="0" borderId="1" xfId="0" applyNumberFormat="1" applyFont="1" applyBorder="1" applyAlignment="1">
      <alignment horizontal="center" wrapText="1"/>
    </xf>
    <xf numFmtId="0" fontId="45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left" vertical="center" wrapText="1" indent="3"/>
    </xf>
    <xf numFmtId="0" fontId="40" fillId="2" borderId="1" xfId="0" applyFont="1" applyFill="1" applyBorder="1" applyAlignment="1">
      <alignment horizontal="center" vertical="center"/>
    </xf>
    <xf numFmtId="167" fontId="49" fillId="2" borderId="1" xfId="0" applyNumberFormat="1" applyFont="1" applyFill="1" applyBorder="1" applyAlignment="1">
      <alignment horizontal="center" wrapText="1"/>
    </xf>
    <xf numFmtId="167" fontId="50" fillId="2" borderId="1" xfId="0" applyNumberFormat="1" applyFont="1" applyFill="1" applyBorder="1" applyAlignment="1">
      <alignment horizontal="center" wrapText="1"/>
    </xf>
    <xf numFmtId="0" fontId="0" fillId="2" borderId="0" xfId="0" applyFill="1"/>
    <xf numFmtId="167" fontId="45" fillId="2" borderId="1" xfId="0" applyNumberFormat="1" applyFont="1" applyFill="1" applyBorder="1" applyAlignment="1">
      <alignment horizontal="center" wrapText="1"/>
    </xf>
    <xf numFmtId="0" fontId="45" fillId="0" borderId="1" xfId="0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167" fontId="51" fillId="0" borderId="1" xfId="0" applyNumberFormat="1" applyFont="1" applyBorder="1" applyAlignment="1">
      <alignment horizontal="center" wrapText="1"/>
    </xf>
    <xf numFmtId="0" fontId="0" fillId="0" borderId="0" xfId="0" applyAlignment="1"/>
    <xf numFmtId="0" fontId="51" fillId="2" borderId="1" xfId="0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left" vertical="center" wrapText="1" indent="3"/>
    </xf>
    <xf numFmtId="0" fontId="52" fillId="2" borderId="1" xfId="0" applyFont="1" applyFill="1" applyBorder="1" applyAlignment="1">
      <alignment horizontal="center" vertical="center"/>
    </xf>
    <xf numFmtId="167" fontId="51" fillId="2" borderId="1" xfId="0" applyNumberFormat="1" applyFont="1" applyFill="1" applyBorder="1" applyAlignment="1">
      <alignment horizontal="center" wrapText="1"/>
    </xf>
    <xf numFmtId="0" fontId="53" fillId="2" borderId="0" xfId="0" applyFont="1" applyFill="1"/>
    <xf numFmtId="0" fontId="51" fillId="22" borderId="1" xfId="0" applyFont="1" applyFill="1" applyBorder="1" applyAlignment="1">
      <alignment horizontal="center" vertical="center"/>
    </xf>
    <xf numFmtId="0" fontId="54" fillId="22" borderId="1" xfId="0" applyFont="1" applyFill="1" applyBorder="1" applyAlignment="1">
      <alignment horizontal="left" vertical="center" wrapText="1" indent="2"/>
    </xf>
    <xf numFmtId="0" fontId="52" fillId="22" borderId="1" xfId="0" applyFont="1" applyFill="1" applyBorder="1" applyAlignment="1">
      <alignment horizontal="center" vertical="center"/>
    </xf>
    <xf numFmtId="167" fontId="51" fillId="22" borderId="1" xfId="0" applyNumberFormat="1" applyFont="1" applyFill="1" applyBorder="1" applyAlignment="1">
      <alignment horizontal="center" wrapText="1"/>
    </xf>
    <xf numFmtId="167" fontId="55" fillId="22" borderId="1" xfId="0" applyNumberFormat="1" applyFont="1" applyFill="1" applyBorder="1" applyAlignment="1">
      <alignment horizontal="center" wrapText="1"/>
    </xf>
    <xf numFmtId="167" fontId="50" fillId="22" borderId="1" xfId="0" applyNumberFormat="1" applyFont="1" applyFill="1" applyBorder="1" applyAlignment="1">
      <alignment horizontal="center" wrapText="1"/>
    </xf>
    <xf numFmtId="0" fontId="53" fillId="22" borderId="0" xfId="0" applyFont="1" applyFill="1"/>
    <xf numFmtId="0" fontId="41" fillId="0" borderId="1" xfId="0" applyFont="1" applyBorder="1" applyAlignment="1">
      <alignment horizontal="left" vertical="center" wrapText="1" indent="1"/>
    </xf>
    <xf numFmtId="0" fontId="56" fillId="5" borderId="1" xfId="0" applyFont="1" applyFill="1" applyBorder="1" applyAlignment="1">
      <alignment horizontal="justify" vertical="center" wrapText="1"/>
    </xf>
    <xf numFmtId="0" fontId="57" fillId="5" borderId="1" xfId="0" applyFont="1" applyFill="1" applyBorder="1" applyAlignment="1">
      <alignment horizontal="center" vertical="center"/>
    </xf>
    <xf numFmtId="167" fontId="45" fillId="5" borderId="1" xfId="0" applyNumberFormat="1" applyFont="1" applyFill="1" applyBorder="1" applyAlignment="1">
      <alignment horizontal="center" wrapText="1"/>
    </xf>
    <xf numFmtId="0" fontId="6" fillId="5" borderId="0" xfId="0" applyFont="1" applyFill="1"/>
    <xf numFmtId="0" fontId="58" fillId="22" borderId="1" xfId="0" applyFont="1" applyFill="1" applyBorder="1" applyAlignment="1">
      <alignment horizontal="center" vertical="center"/>
    </xf>
    <xf numFmtId="0" fontId="59" fillId="22" borderId="1" xfId="0" applyFont="1" applyFill="1" applyBorder="1" applyAlignment="1">
      <alignment horizontal="justify" vertical="center" wrapText="1"/>
    </xf>
    <xf numFmtId="0" fontId="45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left" vertical="center" wrapText="1" indent="1"/>
    </xf>
    <xf numFmtId="167" fontId="49" fillId="0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51" fillId="23" borderId="1" xfId="0" applyFont="1" applyFill="1" applyBorder="1" applyAlignment="1">
      <alignment horizontal="center" vertical="center"/>
    </xf>
    <xf numFmtId="0" fontId="52" fillId="23" borderId="1" xfId="0" applyFont="1" applyFill="1" applyBorder="1" applyAlignment="1">
      <alignment horizontal="left" vertical="center" wrapText="1" indent="1"/>
    </xf>
    <xf numFmtId="0" fontId="52" fillId="23" borderId="1" xfId="0" applyFont="1" applyFill="1" applyBorder="1" applyAlignment="1">
      <alignment horizontal="center" vertical="center"/>
    </xf>
    <xf numFmtId="167" fontId="51" fillId="23" borderId="1" xfId="0" applyNumberFormat="1" applyFont="1" applyFill="1" applyBorder="1" applyAlignment="1">
      <alignment horizontal="center" wrapText="1"/>
    </xf>
    <xf numFmtId="167" fontId="45" fillId="23" borderId="1" xfId="0" applyNumberFormat="1" applyFont="1" applyFill="1" applyBorder="1" applyAlignment="1">
      <alignment horizontal="center" wrapText="1"/>
    </xf>
    <xf numFmtId="0" fontId="53" fillId="23" borderId="0" xfId="0" applyFont="1" applyFill="1"/>
    <xf numFmtId="0" fontId="40" fillId="5" borderId="1" xfId="0" applyFont="1" applyFill="1" applyBorder="1" applyAlignment="1">
      <alignment horizontal="center" vertical="center"/>
    </xf>
    <xf numFmtId="0" fontId="57" fillId="0" borderId="1" xfId="0" applyFont="1" applyBorder="1" applyAlignment="1">
      <alignment horizontal="left" vertical="center" wrapText="1" indent="1"/>
    </xf>
    <xf numFmtId="0" fontId="57" fillId="0" borderId="1" xfId="0" applyFont="1" applyBorder="1" applyAlignment="1">
      <alignment horizontal="center" vertical="center"/>
    </xf>
    <xf numFmtId="167" fontId="55" fillId="0" borderId="1" xfId="0" applyNumberFormat="1" applyFont="1" applyFill="1" applyBorder="1" applyAlignment="1">
      <alignment horizontal="center" wrapText="1"/>
    </xf>
    <xf numFmtId="167" fontId="50" fillId="0" borderId="1" xfId="0" applyNumberFormat="1" applyFont="1" applyFill="1" applyBorder="1" applyAlignment="1">
      <alignment horizontal="center" wrapText="1"/>
    </xf>
    <xf numFmtId="167" fontId="49" fillId="5" borderId="1" xfId="0" applyNumberFormat="1" applyFont="1" applyFill="1" applyBorder="1" applyAlignment="1">
      <alignment horizontal="center" wrapText="1"/>
    </xf>
    <xf numFmtId="4" fontId="49" fillId="5" borderId="1" xfId="0" applyNumberFormat="1" applyFont="1" applyFill="1" applyBorder="1" applyAlignment="1">
      <alignment horizontal="center" wrapText="1"/>
    </xf>
    <xf numFmtId="4" fontId="45" fillId="5" borderId="1" xfId="0" applyNumberFormat="1" applyFont="1" applyFill="1" applyBorder="1" applyAlignment="1">
      <alignment horizontal="center" wrapText="1"/>
    </xf>
    <xf numFmtId="4" fontId="50" fillId="5" borderId="1" xfId="0" applyNumberFormat="1" applyFont="1" applyFill="1" applyBorder="1" applyAlignment="1">
      <alignment horizontal="center" wrapText="1"/>
    </xf>
    <xf numFmtId="0" fontId="40" fillId="5" borderId="1" xfId="0" applyFont="1" applyFill="1" applyBorder="1" applyAlignment="1">
      <alignment horizontal="justify" vertical="center" wrapText="1"/>
    </xf>
    <xf numFmtId="0" fontId="61" fillId="5" borderId="1" xfId="0" applyFont="1" applyFill="1" applyBorder="1" applyAlignment="1">
      <alignment horizontal="justify" vertical="center"/>
    </xf>
    <xf numFmtId="0" fontId="61" fillId="5" borderId="1" xfId="0" applyFont="1" applyFill="1" applyBorder="1" applyAlignment="1">
      <alignment horizontal="justify" vertical="center" wrapText="1"/>
    </xf>
    <xf numFmtId="169" fontId="63" fillId="5" borderId="1" xfId="5" applyNumberFormat="1" applyFont="1" applyFill="1" applyBorder="1" applyAlignment="1">
      <alignment horizontal="center" vertical="center"/>
    </xf>
    <xf numFmtId="10" fontId="57" fillId="5" borderId="1" xfId="5" applyNumberFormat="1" applyFont="1" applyFill="1" applyBorder="1" applyAlignment="1">
      <alignment horizontal="center" vertical="center"/>
    </xf>
    <xf numFmtId="0" fontId="64" fillId="0" borderId="0" xfId="0" applyFont="1" applyAlignment="1"/>
    <xf numFmtId="0" fontId="57" fillId="0" borderId="0" xfId="6" applyFont="1" applyAlignment="1"/>
    <xf numFmtId="43" fontId="0" fillId="0" borderId="0" xfId="0" applyNumberFormat="1" applyBorder="1" applyAlignment="1">
      <alignment horizontal="right"/>
    </xf>
    <xf numFmtId="4" fontId="0" fillId="0" borderId="0" xfId="0" applyNumberFormat="1" applyBorder="1" applyAlignment="1">
      <alignment horizontal="right"/>
    </xf>
    <xf numFmtId="4" fontId="1" fillId="0" borderId="43" xfId="0" applyNumberFormat="1" applyFont="1" applyBorder="1" applyAlignment="1">
      <alignment vertical="center" wrapText="1"/>
    </xf>
    <xf numFmtId="4" fontId="16" fillId="2" borderId="40" xfId="0" applyNumberFormat="1" applyFont="1" applyFill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17" fillId="0" borderId="43" xfId="0" applyNumberFormat="1" applyFont="1" applyBorder="1" applyAlignment="1">
      <alignment horizontal="center" vertical="center" wrapText="1"/>
    </xf>
    <xf numFmtId="4" fontId="17" fillId="0" borderId="75" xfId="0" applyNumberFormat="1" applyFont="1" applyBorder="1" applyAlignment="1">
      <alignment horizontal="center" vertical="center" wrapText="1"/>
    </xf>
    <xf numFmtId="4" fontId="0" fillId="2" borderId="40" xfId="0" applyNumberFormat="1" applyFill="1" applyBorder="1" applyAlignment="1">
      <alignment vertical="center" wrapText="1"/>
    </xf>
    <xf numFmtId="4" fontId="0" fillId="0" borderId="3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4" fontId="0" fillId="0" borderId="1" xfId="0" applyNumberFormat="1" applyFont="1" applyFill="1" applyBorder="1" applyAlignment="1">
      <alignment horizontal="right"/>
    </xf>
    <xf numFmtId="4" fontId="0" fillId="0" borderId="37" xfId="0" applyNumberFormat="1" applyFont="1" applyFill="1" applyBorder="1" applyAlignment="1">
      <alignment horizontal="right" vertical="center" wrapText="1"/>
    </xf>
    <xf numFmtId="4" fontId="0" fillId="0" borderId="37" xfId="0" applyNumberFormat="1" applyFont="1" applyBorder="1" applyAlignment="1">
      <alignment horizontal="right" vertical="center" wrapText="1"/>
    </xf>
    <xf numFmtId="4" fontId="0" fillId="0" borderId="43" xfId="0" applyNumberFormat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37" xfId="0" applyNumberFormat="1" applyBorder="1" applyAlignment="1">
      <alignment horizontal="center"/>
    </xf>
    <xf numFmtId="4" fontId="0" fillId="2" borderId="41" xfId="0" applyNumberFormat="1" applyFill="1" applyBorder="1" applyAlignment="1">
      <alignment horizontal="center"/>
    </xf>
    <xf numFmtId="4" fontId="0" fillId="2" borderId="40" xfId="0" applyNumberFormat="1" applyFill="1" applyBorder="1" applyAlignment="1">
      <alignment horizontal="center"/>
    </xf>
    <xf numFmtId="4" fontId="0" fillId="0" borderId="3" xfId="0" applyNumberFormat="1" applyFont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 vertical="center" wrapText="1"/>
    </xf>
    <xf numFmtId="4" fontId="0" fillId="0" borderId="40" xfId="0" applyNumberFormat="1" applyBorder="1" applyAlignment="1">
      <alignment horizontal="center"/>
    </xf>
    <xf numFmtId="4" fontId="0" fillId="2" borderId="14" xfId="0" applyNumberFormat="1" applyFill="1" applyBorder="1" applyAlignment="1">
      <alignment horizontal="center" vertical="center" wrapText="1"/>
    </xf>
    <xf numFmtId="4" fontId="0" fillId="5" borderId="14" xfId="0" applyNumberFormat="1" applyFill="1" applyBorder="1" applyAlignment="1">
      <alignment horizontal="center" vertical="center" wrapText="1"/>
    </xf>
    <xf numFmtId="4" fontId="0" fillId="2" borderId="22" xfId="0" applyNumberFormat="1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center" vertical="center" wrapText="1"/>
    </xf>
    <xf numFmtId="4" fontId="0" fillId="5" borderId="4" xfId="0" applyNumberFormat="1" applyFill="1" applyBorder="1" applyAlignment="1">
      <alignment horizontal="center" vertical="center" wrapText="1"/>
    </xf>
    <xf numFmtId="4" fontId="0" fillId="2" borderId="20" xfId="0" applyNumberFormat="1" applyFill="1" applyBorder="1" applyAlignment="1">
      <alignment horizontal="center" vertical="center" wrapText="1"/>
    </xf>
    <xf numFmtId="4" fontId="1" fillId="7" borderId="43" xfId="0" applyNumberFormat="1" applyFont="1" applyFill="1" applyBorder="1" applyAlignment="1">
      <alignment horizontal="center" vertical="center" wrapText="1"/>
    </xf>
    <xf numFmtId="4" fontId="1" fillId="5" borderId="43" xfId="0" applyNumberFormat="1" applyFont="1" applyFill="1" applyBorder="1" applyAlignment="1">
      <alignment horizontal="center" vertical="center" wrapText="1"/>
    </xf>
    <xf numFmtId="4" fontId="1" fillId="7" borderId="74" xfId="0" applyNumberFormat="1" applyFont="1" applyFill="1" applyBorder="1" applyAlignment="1">
      <alignment horizontal="center" vertical="center" wrapText="1"/>
    </xf>
    <xf numFmtId="4" fontId="1" fillId="7" borderId="36" xfId="0" applyNumberFormat="1" applyFont="1" applyFill="1" applyBorder="1" applyAlignment="1">
      <alignment horizontal="center" vertical="center" wrapText="1"/>
    </xf>
    <xf numFmtId="4" fontId="1" fillId="5" borderId="36" xfId="0" applyNumberFormat="1" applyFont="1" applyFill="1" applyBorder="1" applyAlignment="1">
      <alignment horizontal="center" vertical="center" wrapText="1"/>
    </xf>
    <xf numFmtId="4" fontId="1" fillId="7" borderId="59" xfId="0" applyNumberFormat="1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4" fontId="0" fillId="5" borderId="3" xfId="0" applyNumberFormat="1" applyFill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4" fontId="0" fillId="0" borderId="33" xfId="0" applyNumberFormat="1" applyBorder="1" applyAlignment="1">
      <alignment horizontal="center" vertical="center" wrapText="1"/>
    </xf>
    <xf numFmtId="4" fontId="0" fillId="5" borderId="33" xfId="0" applyNumberFormat="1" applyFill="1" applyBorder="1" applyAlignment="1">
      <alignment horizontal="center" vertical="center" wrapText="1"/>
    </xf>
    <xf numFmtId="4" fontId="0" fillId="0" borderId="61" xfId="0" applyNumberFormat="1" applyBorder="1" applyAlignment="1">
      <alignment horizontal="center" vertical="center" wrapText="1"/>
    </xf>
    <xf numFmtId="4" fontId="0" fillId="0" borderId="30" xfId="0" applyNumberFormat="1" applyBorder="1" applyAlignment="1">
      <alignment horizontal="center" vertical="center" wrapText="1"/>
    </xf>
    <xf numFmtId="4" fontId="0" fillId="5" borderId="30" xfId="0" applyNumberFormat="1" applyFill="1" applyBorder="1" applyAlignment="1">
      <alignment horizontal="center" vertical="center" wrapText="1"/>
    </xf>
    <xf numFmtId="4" fontId="0" fillId="0" borderId="62" xfId="0" applyNumberFormat="1" applyBorder="1" applyAlignment="1">
      <alignment horizontal="center" vertical="center" wrapText="1"/>
    </xf>
    <xf numFmtId="4" fontId="0" fillId="0" borderId="37" xfId="0" applyNumberFormat="1" applyBorder="1" applyAlignment="1">
      <alignment horizontal="center" vertical="center" wrapText="1"/>
    </xf>
    <xf numFmtId="4" fontId="0" fillId="0" borderId="38" xfId="0" applyNumberFormat="1" applyBorder="1" applyAlignment="1">
      <alignment horizontal="center" vertical="center" wrapText="1"/>
    </xf>
    <xf numFmtId="4" fontId="0" fillId="0" borderId="39" xfId="0" applyNumberFormat="1" applyBorder="1" applyAlignment="1">
      <alignment horizontal="center" vertical="center" wrapText="1"/>
    </xf>
    <xf numFmtId="4" fontId="0" fillId="5" borderId="39" xfId="0" applyNumberFormat="1" applyFill="1" applyBorder="1" applyAlignment="1">
      <alignment horizontal="center" vertical="center" wrapText="1"/>
    </xf>
    <xf numFmtId="4" fontId="0" fillId="0" borderId="63" xfId="0" applyNumberFormat="1" applyBorder="1" applyAlignment="1">
      <alignment horizontal="center" vertical="center" wrapText="1"/>
    </xf>
    <xf numFmtId="4" fontId="1" fillId="7" borderId="42" xfId="0" applyNumberFormat="1" applyFont="1" applyFill="1" applyBorder="1" applyAlignment="1">
      <alignment horizontal="center" vertical="center" wrapText="1"/>
    </xf>
    <xf numFmtId="4" fontId="1" fillId="7" borderId="41" xfId="0" applyNumberFormat="1" applyFont="1" applyFill="1" applyBorder="1" applyAlignment="1">
      <alignment horizontal="center" vertical="center" wrapText="1"/>
    </xf>
    <xf numFmtId="4" fontId="1" fillId="5" borderId="44" xfId="0" applyNumberFormat="1" applyFont="1" applyFill="1" applyBorder="1" applyAlignment="1">
      <alignment horizontal="center" vertical="center" wrapText="1"/>
    </xf>
    <xf numFmtId="4" fontId="1" fillId="7" borderId="64" xfId="0" applyNumberFormat="1" applyFont="1" applyFill="1" applyBorder="1" applyAlignment="1">
      <alignment horizontal="center" vertical="center" wrapText="1"/>
    </xf>
    <xf numFmtId="4" fontId="1" fillId="7" borderId="44" xfId="0" applyNumberFormat="1" applyFont="1" applyFill="1" applyBorder="1" applyAlignment="1">
      <alignment horizontal="center" vertical="center" wrapText="1"/>
    </xf>
    <xf numFmtId="4" fontId="1" fillId="7" borderId="40" xfId="0" applyNumberFormat="1" applyFont="1" applyFill="1" applyBorder="1" applyAlignment="1">
      <alignment horizontal="center" vertical="center" wrapText="1"/>
    </xf>
    <xf numFmtId="4" fontId="1" fillId="5" borderId="40" xfId="0" applyNumberFormat="1" applyFont="1" applyFill="1" applyBorder="1" applyAlignment="1">
      <alignment horizontal="center" vertical="center" wrapText="1"/>
    </xf>
    <xf numFmtId="4" fontId="1" fillId="5" borderId="42" xfId="0" applyNumberFormat="1" applyFont="1" applyFill="1" applyBorder="1" applyAlignment="1">
      <alignment horizontal="center" vertical="center" wrapText="1"/>
    </xf>
    <xf numFmtId="4" fontId="1" fillId="7" borderId="60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horizontal="center"/>
    </xf>
    <xf numFmtId="4" fontId="0" fillId="5" borderId="33" xfId="0" applyNumberFormat="1" applyFill="1" applyBorder="1" applyAlignment="1">
      <alignment horizontal="center"/>
    </xf>
    <xf numFmtId="4" fontId="0" fillId="0" borderId="61" xfId="0" applyNumberFormat="1" applyBorder="1" applyAlignment="1">
      <alignment horizontal="center"/>
    </xf>
    <xf numFmtId="4" fontId="0" fillId="7" borderId="40" xfId="0" applyNumberFormat="1" applyFill="1" applyBorder="1" applyAlignment="1">
      <alignment horizontal="center" vertical="center" wrapText="1"/>
    </xf>
    <xf numFmtId="4" fontId="0" fillId="7" borderId="42" xfId="0" applyNumberFormat="1" applyFill="1" applyBorder="1" applyAlignment="1">
      <alignment horizontal="center" vertical="center" wrapText="1"/>
    </xf>
    <xf numFmtId="4" fontId="0" fillId="5" borderId="42" xfId="0" applyNumberFormat="1" applyFill="1" applyBorder="1" applyAlignment="1">
      <alignment horizontal="center" vertical="center" wrapText="1"/>
    </xf>
    <xf numFmtId="4" fontId="0" fillId="7" borderId="60" xfId="0" applyNumberForma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5" borderId="79" xfId="0" applyNumberFormat="1" applyFill="1" applyBorder="1" applyAlignment="1">
      <alignment horizontal="center" vertical="center" wrapText="1"/>
    </xf>
    <xf numFmtId="4" fontId="0" fillId="0" borderId="66" xfId="0" applyNumberFormat="1" applyBorder="1" applyAlignment="1">
      <alignment horizontal="center" vertical="center" wrapText="1"/>
    </xf>
    <xf numFmtId="4" fontId="0" fillId="0" borderId="79" xfId="0" applyNumberFormat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4" fontId="1" fillId="7" borderId="34" xfId="0" applyNumberFormat="1" applyFont="1" applyFill="1" applyBorder="1" applyAlignment="1">
      <alignment horizontal="center" vertical="center" wrapText="1"/>
    </xf>
    <xf numFmtId="4" fontId="1" fillId="2" borderId="1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5" borderId="4" xfId="0" applyNumberFormat="1" applyFont="1" applyFill="1" applyBorder="1" applyAlignment="1">
      <alignment horizontal="center"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4" fontId="0" fillId="7" borderId="34" xfId="0" applyNumberFormat="1" applyFill="1" applyBorder="1" applyAlignment="1">
      <alignment horizontal="center" vertical="center" wrapText="1"/>
    </xf>
    <xf numFmtId="4" fontId="0" fillId="7" borderId="35" xfId="0" applyNumberFormat="1" applyFill="1" applyBorder="1" applyAlignment="1">
      <alignment horizontal="center" vertical="center" wrapText="1"/>
    </xf>
    <xf numFmtId="4" fontId="0" fillId="7" borderId="36" xfId="0" applyNumberFormat="1" applyFill="1" applyBorder="1" applyAlignment="1">
      <alignment horizontal="center" vertical="center" wrapText="1"/>
    </xf>
    <xf numFmtId="4" fontId="0" fillId="5" borderId="36" xfId="0" applyNumberFormat="1" applyFill="1" applyBorder="1" applyAlignment="1">
      <alignment horizontal="center" vertical="center" wrapText="1"/>
    </xf>
    <xf numFmtId="4" fontId="0" fillId="7" borderId="59" xfId="0" applyNumberFormat="1" applyFill="1" applyBorder="1" applyAlignment="1">
      <alignment horizontal="center" vertical="center" wrapText="1"/>
    </xf>
    <xf numFmtId="4" fontId="2" fillId="5" borderId="37" xfId="0" applyNumberFormat="1" applyFont="1" applyFill="1" applyBorder="1" applyAlignment="1">
      <alignment horizontal="center" vertical="center" wrapText="1"/>
    </xf>
    <xf numFmtId="4" fontId="2" fillId="0" borderId="38" xfId="0" applyNumberFormat="1" applyFont="1" applyBorder="1" applyAlignment="1">
      <alignment horizontal="center" vertical="center" wrapText="1"/>
    </xf>
    <xf numFmtId="4" fontId="2" fillId="0" borderId="63" xfId="0" applyNumberFormat="1" applyFont="1" applyBorder="1" applyAlignment="1">
      <alignment horizontal="left" vertical="center" wrapText="1"/>
    </xf>
    <xf numFmtId="4" fontId="2" fillId="0" borderId="39" xfId="0" applyNumberFormat="1" applyFont="1" applyBorder="1" applyAlignment="1">
      <alignment horizontal="left" vertical="center" wrapText="1"/>
    </xf>
    <xf numFmtId="4" fontId="3" fillId="7" borderId="42" xfId="0" applyNumberFormat="1" applyFont="1" applyFill="1" applyBorder="1" applyAlignment="1">
      <alignment horizontal="left" vertical="center" wrapText="1"/>
    </xf>
    <xf numFmtId="4" fontId="3" fillId="7" borderId="60" xfId="0" applyNumberFormat="1" applyFont="1" applyFill="1" applyBorder="1" applyAlignment="1">
      <alignment horizontal="left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2" borderId="20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1" fillId="5" borderId="30" xfId="0" applyNumberFormat="1" applyFont="1" applyFill="1" applyBorder="1"/>
    <xf numFmtId="4" fontId="1" fillId="7" borderId="62" xfId="0" applyNumberFormat="1" applyFont="1" applyFill="1" applyBorder="1"/>
    <xf numFmtId="4" fontId="1" fillId="7" borderId="30" xfId="0" applyNumberFormat="1" applyFont="1" applyFill="1" applyBorder="1"/>
    <xf numFmtId="4" fontId="3" fillId="2" borderId="14" xfId="0" applyNumberFormat="1" applyFont="1" applyFill="1" applyBorder="1" applyAlignment="1">
      <alignment horizontal="center" vertical="center" wrapText="1"/>
    </xf>
    <xf numFmtId="4" fontId="3" fillId="5" borderId="14" xfId="0" applyNumberFormat="1" applyFont="1" applyFill="1" applyBorder="1" applyAlignment="1">
      <alignment horizontal="center" vertical="center" wrapText="1"/>
    </xf>
    <xf numFmtId="4" fontId="3" fillId="2" borderId="22" xfId="0" applyNumberFormat="1" applyFont="1" applyFill="1" applyBorder="1" applyAlignment="1">
      <alignment horizontal="center" vertical="center" wrapText="1"/>
    </xf>
    <xf numFmtId="4" fontId="3" fillId="7" borderId="15" xfId="0" applyNumberFormat="1" applyFont="1" applyFill="1" applyBorder="1" applyAlignment="1">
      <alignment horizontal="center" vertical="center" wrapText="1"/>
    </xf>
    <xf numFmtId="4" fontId="3" fillId="7" borderId="19" xfId="0" applyNumberFormat="1" applyFont="1" applyFill="1" applyBorder="1" applyAlignment="1">
      <alignment horizontal="center" vertical="center" wrapText="1"/>
    </xf>
    <xf numFmtId="4" fontId="3" fillId="5" borderId="19" xfId="0" applyNumberFormat="1" applyFont="1" applyFill="1" applyBorder="1" applyAlignment="1">
      <alignment horizontal="center" vertical="center" wrapText="1"/>
    </xf>
    <xf numFmtId="4" fontId="3" fillId="7" borderId="0" xfId="0" applyNumberFormat="1" applyFont="1" applyFill="1" applyBorder="1" applyAlignment="1">
      <alignment horizontal="center" vertical="center" wrapText="1"/>
    </xf>
    <xf numFmtId="4" fontId="1" fillId="7" borderId="34" xfId="0" applyNumberFormat="1" applyFont="1" applyFill="1" applyBorder="1" applyAlignment="1">
      <alignment horizontal="center"/>
    </xf>
    <xf numFmtId="4" fontId="1" fillId="5" borderId="34" xfId="0" applyNumberFormat="1" applyFont="1" applyFill="1" applyBorder="1" applyAlignment="1">
      <alignment horizontal="center"/>
    </xf>
    <xf numFmtId="4" fontId="1" fillId="7" borderId="35" xfId="0" applyNumberFormat="1" applyFont="1" applyFill="1" applyBorder="1" applyAlignment="1">
      <alignment horizontal="center"/>
    </xf>
    <xf numFmtId="4" fontId="1" fillId="7" borderId="36" xfId="0" applyNumberFormat="1" applyFont="1" applyFill="1" applyBorder="1" applyAlignment="1">
      <alignment horizontal="center"/>
    </xf>
    <xf numFmtId="4" fontId="1" fillId="5" borderId="36" xfId="0" applyNumberFormat="1" applyFont="1" applyFill="1" applyBorder="1" applyAlignment="1">
      <alignment horizontal="center"/>
    </xf>
    <xf numFmtId="4" fontId="1" fillId="7" borderId="59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7" borderId="40" xfId="0" applyNumberFormat="1" applyFont="1" applyFill="1" applyBorder="1" applyAlignment="1">
      <alignment horizontal="center"/>
    </xf>
    <xf numFmtId="4" fontId="1" fillId="7" borderId="42" xfId="0" applyNumberFormat="1" applyFont="1" applyFill="1" applyBorder="1" applyAlignment="1">
      <alignment horizontal="center"/>
    </xf>
    <xf numFmtId="4" fontId="1" fillId="5" borderId="42" xfId="0" applyNumberFormat="1" applyFont="1" applyFill="1" applyBorder="1" applyAlignment="1">
      <alignment horizontal="center"/>
    </xf>
    <xf numFmtId="4" fontId="1" fillId="7" borderId="60" xfId="0" applyNumberFormat="1" applyFont="1" applyFill="1" applyBorder="1" applyAlignment="1">
      <alignment horizontal="center"/>
    </xf>
    <xf numFmtId="4" fontId="1" fillId="0" borderId="14" xfId="0" applyNumberFormat="1" applyFont="1" applyFill="1" applyBorder="1" applyAlignment="1">
      <alignment horizontal="center"/>
    </xf>
    <xf numFmtId="4" fontId="1" fillId="0" borderId="4" xfId="0" applyNumberFormat="1" applyFont="1" applyFill="1" applyBorder="1" applyAlignment="1">
      <alignment horizontal="center"/>
    </xf>
    <xf numFmtId="4" fontId="1" fillId="0" borderId="20" xfId="0" applyNumberFormat="1" applyFont="1" applyFill="1" applyBorder="1" applyAlignment="1">
      <alignment horizontal="center"/>
    </xf>
    <xf numFmtId="4" fontId="1" fillId="2" borderId="51" xfId="0" applyNumberFormat="1" applyFont="1" applyFill="1" applyBorder="1" applyAlignment="1">
      <alignment horizontal="center"/>
    </xf>
    <xf numFmtId="4" fontId="1" fillId="2" borderId="80" xfId="0" applyNumberFormat="1" applyFont="1" applyFill="1" applyBorder="1" applyAlignment="1">
      <alignment horizontal="center"/>
    </xf>
    <xf numFmtId="4" fontId="1" fillId="5" borderId="6" xfId="0" applyNumberFormat="1" applyFont="1" applyFill="1" applyBorder="1" applyAlignment="1">
      <alignment horizontal="center"/>
    </xf>
    <xf numFmtId="4" fontId="1" fillId="7" borderId="18" xfId="0" applyNumberFormat="1" applyFont="1" applyFill="1" applyBorder="1" applyAlignment="1">
      <alignment horizontal="center"/>
    </xf>
    <xf numFmtId="4" fontId="1" fillId="7" borderId="26" xfId="0" applyNumberFormat="1" applyFont="1" applyFill="1" applyBorder="1" applyAlignment="1">
      <alignment horizontal="center"/>
    </xf>
    <xf numFmtId="4" fontId="1" fillId="7" borderId="5" xfId="0" applyNumberFormat="1" applyFont="1" applyFill="1" applyBorder="1" applyAlignment="1">
      <alignment horizontal="center"/>
    </xf>
    <xf numFmtId="4" fontId="1" fillId="7" borderId="77" xfId="0" applyNumberFormat="1" applyFont="1" applyFill="1" applyBorder="1" applyAlignment="1">
      <alignment horizontal="center"/>
    </xf>
    <xf numFmtId="4" fontId="1" fillId="5" borderId="5" xfId="0" applyNumberFormat="1" applyFont="1" applyFill="1" applyBorder="1" applyAlignment="1">
      <alignment horizontal="center"/>
    </xf>
    <xf numFmtId="4" fontId="1" fillId="7" borderId="7" xfId="0" applyNumberFormat="1" applyFont="1" applyFill="1" applyBorder="1" applyAlignment="1">
      <alignment horizontal="center"/>
    </xf>
    <xf numFmtId="4" fontId="1" fillId="7" borderId="34" xfId="0" applyNumberFormat="1" applyFont="1" applyFill="1" applyBorder="1"/>
    <xf numFmtId="4" fontId="1" fillId="5" borderId="34" xfId="0" applyNumberFormat="1" applyFont="1" applyFill="1" applyBorder="1"/>
    <xf numFmtId="4" fontId="1" fillId="7" borderId="35" xfId="0" applyNumberFormat="1" applyFont="1" applyFill="1" applyBorder="1"/>
    <xf numFmtId="4" fontId="1" fillId="7" borderId="36" xfId="0" applyNumberFormat="1" applyFont="1" applyFill="1" applyBorder="1"/>
    <xf numFmtId="4" fontId="1" fillId="7" borderId="49" xfId="0" applyNumberFormat="1" applyFont="1" applyFill="1" applyBorder="1"/>
    <xf numFmtId="4" fontId="1" fillId="5" borderId="36" xfId="0" applyNumberFormat="1" applyFont="1" applyFill="1" applyBorder="1"/>
    <xf numFmtId="4" fontId="1" fillId="7" borderId="59" xfId="0" applyNumberFormat="1" applyFont="1" applyFill="1" applyBorder="1"/>
    <xf numFmtId="4" fontId="1" fillId="7" borderId="40" xfId="0" applyNumberFormat="1" applyFont="1" applyFill="1" applyBorder="1"/>
    <xf numFmtId="4" fontId="1" fillId="5" borderId="40" xfId="0" applyNumberFormat="1" applyFont="1" applyFill="1" applyBorder="1"/>
    <xf numFmtId="4" fontId="1" fillId="7" borderId="41" xfId="0" applyNumberFormat="1" applyFont="1" applyFill="1" applyBorder="1"/>
    <xf numFmtId="4" fontId="1" fillId="7" borderId="42" xfId="0" applyNumberFormat="1" applyFont="1" applyFill="1" applyBorder="1"/>
    <xf numFmtId="4" fontId="1" fillId="7" borderId="83" xfId="0" applyNumberFormat="1" applyFont="1" applyFill="1" applyBorder="1"/>
    <xf numFmtId="4" fontId="1" fillId="5" borderId="42" xfId="0" applyNumberFormat="1" applyFont="1" applyFill="1" applyBorder="1"/>
    <xf numFmtId="4" fontId="1" fillId="7" borderId="60" xfId="0" applyNumberFormat="1" applyFont="1" applyFill="1" applyBorder="1"/>
    <xf numFmtId="4" fontId="1" fillId="7" borderId="15" xfId="0" applyNumberFormat="1" applyFont="1" applyFill="1" applyBorder="1"/>
    <xf numFmtId="4" fontId="1" fillId="5" borderId="19" xfId="0" applyNumberFormat="1" applyFont="1" applyFill="1" applyBorder="1"/>
    <xf numFmtId="4" fontId="1" fillId="7" borderId="29" xfId="0" applyNumberFormat="1" applyFont="1" applyFill="1" applyBorder="1"/>
    <xf numFmtId="4" fontId="1" fillId="7" borderId="6" xfId="0" applyNumberFormat="1" applyFont="1" applyFill="1" applyBorder="1"/>
    <xf numFmtId="4" fontId="1" fillId="2" borderId="14" xfId="0" applyNumberFormat="1" applyFont="1" applyFill="1" applyBorder="1"/>
    <xf numFmtId="4" fontId="1" fillId="5" borderId="14" xfId="0" applyNumberFormat="1" applyFont="1" applyFill="1" applyBorder="1"/>
    <xf numFmtId="4" fontId="1" fillId="2" borderId="4" xfId="0" applyNumberFormat="1" applyFont="1" applyFill="1" applyBorder="1"/>
    <xf numFmtId="4" fontId="1" fillId="5" borderId="4" xfId="0" applyNumberFormat="1" applyFont="1" applyFill="1" applyBorder="1"/>
    <xf numFmtId="4" fontId="1" fillId="2" borderId="20" xfId="0" applyNumberFormat="1" applyFont="1" applyFill="1" applyBorder="1"/>
    <xf numFmtId="4" fontId="1" fillId="7" borderId="46" xfId="0" applyNumberFormat="1" applyFont="1" applyFill="1" applyBorder="1"/>
    <xf numFmtId="4" fontId="1" fillId="0" borderId="14" xfId="0" applyNumberFormat="1" applyFont="1" applyFill="1" applyBorder="1"/>
    <xf numFmtId="4" fontId="0" fillId="5" borderId="14" xfId="0" applyNumberFormat="1" applyFill="1" applyBorder="1"/>
    <xf numFmtId="4" fontId="0" fillId="5" borderId="4" xfId="0" applyNumberFormat="1" applyFill="1" applyBorder="1"/>
    <xf numFmtId="4" fontId="0" fillId="0" borderId="14" xfId="0" applyNumberFormat="1" applyBorder="1"/>
    <xf numFmtId="0" fontId="1" fillId="2" borderId="14" xfId="0" applyFont="1" applyFill="1" applyBorder="1" applyAlignment="1">
      <alignment vertical="center" wrapText="1"/>
    </xf>
    <xf numFmtId="4" fontId="3" fillId="7" borderId="15" xfId="0" applyNumberFormat="1" applyFont="1" applyFill="1" applyBorder="1" applyAlignment="1">
      <alignment horizontal="right" vertical="center" wrapText="1"/>
    </xf>
    <xf numFmtId="4" fontId="3" fillId="2" borderId="14" xfId="0" applyNumberFormat="1" applyFont="1" applyFill="1" applyBorder="1" applyAlignment="1">
      <alignment horizontal="right" vertical="center" wrapText="1"/>
    </xf>
    <xf numFmtId="4" fontId="3" fillId="7" borderId="42" xfId="0" applyNumberFormat="1" applyFont="1" applyFill="1" applyBorder="1" applyAlignment="1">
      <alignment horizontal="right" vertical="center" wrapText="1"/>
    </xf>
    <xf numFmtId="4" fontId="3" fillId="7" borderId="83" xfId="0" applyNumberFormat="1" applyFont="1" applyFill="1" applyBorder="1" applyAlignment="1">
      <alignment horizontal="right" vertical="center" wrapText="1"/>
    </xf>
    <xf numFmtId="4" fontId="3" fillId="7" borderId="41" xfId="0" applyNumberFormat="1" applyFont="1" applyFill="1" applyBorder="1" applyAlignment="1">
      <alignment horizontal="right" vertical="center" wrapText="1"/>
    </xf>
    <xf numFmtId="4" fontId="3" fillId="7" borderId="40" xfId="0" applyNumberFormat="1" applyFont="1" applyFill="1" applyBorder="1" applyAlignment="1">
      <alignment horizontal="right" vertical="center" wrapText="1"/>
    </xf>
    <xf numFmtId="4" fontId="3" fillId="5" borderId="40" xfId="0" applyNumberFormat="1" applyFont="1" applyFill="1" applyBorder="1" applyAlignment="1">
      <alignment horizontal="right" vertical="center" wrapText="1"/>
    </xf>
    <xf numFmtId="4" fontId="3" fillId="5" borderId="14" xfId="0" applyNumberFormat="1" applyFont="1" applyFill="1" applyBorder="1" applyAlignment="1">
      <alignment horizontal="right" vertical="center" wrapText="1"/>
    </xf>
    <xf numFmtId="4" fontId="3" fillId="2" borderId="22" xfId="0" applyNumberFormat="1" applyFont="1" applyFill="1" applyBorder="1" applyAlignment="1">
      <alignment horizontal="right" vertical="center" wrapText="1"/>
    </xf>
    <xf numFmtId="4" fontId="1" fillId="20" borderId="34" xfId="0" applyNumberFormat="1" applyFont="1" applyFill="1" applyBorder="1"/>
    <xf numFmtId="4" fontId="1" fillId="20" borderId="35" xfId="0" applyNumberFormat="1" applyFont="1" applyFill="1" applyBorder="1"/>
    <xf numFmtId="0" fontId="34" fillId="0" borderId="0" xfId="3" applyFont="1" applyBorder="1"/>
    <xf numFmtId="4" fontId="34" fillId="0" borderId="0" xfId="3" applyNumberFormat="1" applyFont="1" applyBorder="1" applyAlignment="1">
      <alignment horizontal="right"/>
    </xf>
    <xf numFmtId="4" fontId="0" fillId="0" borderId="0" xfId="0" applyNumberFormat="1" applyAlignment="1">
      <alignment horizontal="center" vertical="center" wrapText="1"/>
    </xf>
    <xf numFmtId="4" fontId="17" fillId="0" borderId="37" xfId="0" applyNumberFormat="1" applyFont="1" applyBorder="1" applyAlignment="1">
      <alignment horizontal="center" vertical="center" wrapText="1"/>
    </xf>
    <xf numFmtId="4" fontId="0" fillId="2" borderId="40" xfId="0" applyNumberFormat="1" applyFill="1" applyBorder="1" applyAlignment="1">
      <alignment horizontal="center" vertical="center" wrapText="1"/>
    </xf>
    <xf numFmtId="4" fontId="0" fillId="0" borderId="37" xfId="0" applyNumberFormat="1" applyFont="1" applyBorder="1" applyAlignment="1">
      <alignment horizontal="right"/>
    </xf>
    <xf numFmtId="4" fontId="17" fillId="2" borderId="3" xfId="0" applyNumberFormat="1" applyFont="1" applyFill="1" applyBorder="1" applyAlignment="1">
      <alignment horizontal="center" vertical="center" wrapText="1"/>
    </xf>
    <xf numFmtId="43" fontId="16" fillId="2" borderId="40" xfId="1" applyFont="1" applyFill="1" applyBorder="1" applyAlignment="1">
      <alignment horizontal="center" vertical="center" wrapText="1"/>
    </xf>
    <xf numFmtId="43" fontId="16" fillId="2" borderId="41" xfId="1" applyFont="1" applyFill="1" applyBorder="1" applyAlignment="1">
      <alignment horizontal="center" vertical="center" wrapText="1"/>
    </xf>
    <xf numFmtId="0" fontId="12" fillId="0" borderId="0" xfId="0" applyFont="1"/>
    <xf numFmtId="49" fontId="0" fillId="0" borderId="2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81" xfId="0" applyBorder="1"/>
    <xf numFmtId="0" fontId="0" fillId="2" borderId="82" xfId="0" applyFill="1" applyBorder="1"/>
    <xf numFmtId="0" fontId="0" fillId="0" borderId="82" xfId="0" applyBorder="1"/>
    <xf numFmtId="0" fontId="1" fillId="2" borderId="89" xfId="0" applyFont="1" applyFill="1" applyBorder="1"/>
    <xf numFmtId="0" fontId="0" fillId="2" borderId="90" xfId="0" applyFill="1" applyBorder="1"/>
    <xf numFmtId="0" fontId="0" fillId="0" borderId="90" xfId="0" applyBorder="1"/>
    <xf numFmtId="49" fontId="1" fillId="0" borderId="89" xfId="0" applyNumberFormat="1" applyFont="1" applyBorder="1"/>
    <xf numFmtId="49" fontId="1" fillId="2" borderId="87" xfId="0" applyNumberFormat="1" applyFont="1" applyFill="1" applyBorder="1" applyAlignment="1">
      <alignment vertical="center" wrapText="1"/>
    </xf>
    <xf numFmtId="49" fontId="1" fillId="0" borderId="87" xfId="0" applyNumberFormat="1" applyFont="1" applyBorder="1"/>
    <xf numFmtId="49" fontId="0" fillId="0" borderId="87" xfId="0" applyNumberFormat="1" applyBorder="1"/>
    <xf numFmtId="49" fontId="0" fillId="2" borderId="85" xfId="0" applyNumberFormat="1" applyFill="1" applyBorder="1"/>
    <xf numFmtId="0" fontId="0" fillId="4" borderId="82" xfId="0" applyFill="1" applyBorder="1"/>
    <xf numFmtId="0" fontId="0" fillId="6" borderId="82" xfId="0" applyFill="1" applyBorder="1"/>
    <xf numFmtId="0" fontId="0" fillId="7" borderId="82" xfId="0" applyFill="1" applyBorder="1"/>
    <xf numFmtId="167" fontId="0" fillId="7" borderId="82" xfId="0" applyNumberFormat="1" applyFill="1" applyBorder="1"/>
    <xf numFmtId="0" fontId="1" fillId="0" borderId="82" xfId="0" applyFont="1" applyBorder="1"/>
    <xf numFmtId="0" fontId="1" fillId="2" borderId="82" xfId="0" applyFont="1" applyFill="1" applyBorder="1"/>
    <xf numFmtId="0" fontId="0" fillId="0" borderId="84" xfId="0" applyBorder="1"/>
    <xf numFmtId="0" fontId="0" fillId="5" borderId="89" xfId="0" applyFill="1" applyBorder="1" applyAlignment="1">
      <alignment horizontal="left" vertical="center" wrapText="1"/>
    </xf>
    <xf numFmtId="49" fontId="0" fillId="5" borderId="89" xfId="0" applyNumberFormat="1" applyFill="1" applyBorder="1"/>
    <xf numFmtId="0" fontId="0" fillId="4" borderId="89" xfId="0" applyFill="1" applyBorder="1" applyAlignment="1">
      <alignment horizontal="left" vertical="center" wrapText="1"/>
    </xf>
    <xf numFmtId="0" fontId="0" fillId="4" borderId="90" xfId="0" applyFill="1" applyBorder="1"/>
    <xf numFmtId="49" fontId="0" fillId="4" borderId="89" xfId="0" applyNumberFormat="1" applyFill="1" applyBorder="1"/>
    <xf numFmtId="49" fontId="0" fillId="6" borderId="89" xfId="0" applyNumberFormat="1" applyFill="1" applyBorder="1"/>
    <xf numFmtId="0" fontId="0" fillId="6" borderId="90" xfId="0" applyFill="1" applyBorder="1"/>
    <xf numFmtId="0" fontId="1" fillId="7" borderId="89" xfId="0" applyFont="1" applyFill="1" applyBorder="1" applyAlignment="1">
      <alignment horizontal="left" vertical="center" wrapText="1"/>
    </xf>
    <xf numFmtId="0" fontId="0" fillId="7" borderId="90" xfId="0" applyFill="1" applyBorder="1"/>
    <xf numFmtId="49" fontId="0" fillId="7" borderId="89" xfId="0" applyNumberFormat="1" applyFill="1" applyBorder="1"/>
    <xf numFmtId="167" fontId="0" fillId="7" borderId="90" xfId="0" applyNumberFormat="1" applyFill="1" applyBorder="1"/>
    <xf numFmtId="0" fontId="0" fillId="7" borderId="89" xfId="0" applyFill="1" applyBorder="1" applyAlignment="1">
      <alignment horizontal="left" vertical="center" wrapText="1"/>
    </xf>
    <xf numFmtId="49" fontId="0" fillId="2" borderId="89" xfId="0" applyNumberFormat="1" applyFill="1" applyBorder="1"/>
    <xf numFmtId="49" fontId="0" fillId="2" borderId="89" xfId="0" applyNumberFormat="1" applyFill="1" applyBorder="1" applyAlignment="1">
      <alignment vertical="center" wrapText="1"/>
    </xf>
    <xf numFmtId="0" fontId="0" fillId="2" borderId="89" xfId="0" applyFill="1" applyBorder="1" applyAlignment="1">
      <alignment vertical="center" wrapText="1"/>
    </xf>
    <xf numFmtId="0" fontId="0" fillId="2" borderId="89" xfId="0" applyFill="1" applyBorder="1" applyAlignment="1">
      <alignment horizontal="left" vertical="center" wrapText="1"/>
    </xf>
    <xf numFmtId="4" fontId="1" fillId="0" borderId="90" xfId="0" applyNumberFormat="1" applyFont="1" applyBorder="1"/>
    <xf numFmtId="49" fontId="1" fillId="2" borderId="89" xfId="0" applyNumberFormat="1" applyFont="1" applyFill="1" applyBorder="1"/>
    <xf numFmtId="4" fontId="1" fillId="2" borderId="90" xfId="0" applyNumberFormat="1" applyFont="1" applyFill="1" applyBorder="1"/>
    <xf numFmtId="4" fontId="0" fillId="0" borderId="90" xfId="0" applyNumberFormat="1" applyBorder="1"/>
    <xf numFmtId="49" fontId="0" fillId="0" borderId="91" xfId="0" applyNumberFormat="1" applyBorder="1"/>
    <xf numFmtId="4" fontId="0" fillId="0" borderId="92" xfId="0" applyNumberFormat="1" applyBorder="1"/>
    <xf numFmtId="4" fontId="1" fillId="6" borderId="9" xfId="0" applyNumberFormat="1" applyFont="1" applyFill="1" applyBorder="1"/>
    <xf numFmtId="4" fontId="0" fillId="0" borderId="82" xfId="0" applyNumberFormat="1" applyBorder="1"/>
    <xf numFmtId="4" fontId="1" fillId="2" borderId="82" xfId="0" applyNumberFormat="1" applyFont="1" applyFill="1" applyBorder="1"/>
    <xf numFmtId="0" fontId="0" fillId="0" borderId="89" xfId="0" applyBorder="1"/>
    <xf numFmtId="0" fontId="0" fillId="0" borderId="89" xfId="0" applyBorder="1" applyAlignment="1">
      <alignment horizontal="left"/>
    </xf>
    <xf numFmtId="0" fontId="0" fillId="0" borderId="89" xfId="0" applyBorder="1" applyAlignment="1">
      <alignment horizontal="left" vertical="center" wrapText="1"/>
    </xf>
    <xf numFmtId="0" fontId="1" fillId="2" borderId="89" xfId="0" applyFont="1" applyFill="1" applyBorder="1" applyAlignment="1">
      <alignment horizontal="left"/>
    </xf>
    <xf numFmtId="0" fontId="0" fillId="0" borderId="91" xfId="0" applyBorder="1"/>
    <xf numFmtId="0" fontId="0" fillId="0" borderId="92" xfId="0" applyBorder="1"/>
    <xf numFmtId="0" fontId="1" fillId="6" borderId="16" xfId="0" applyFont="1" applyFill="1" applyBorder="1"/>
    <xf numFmtId="0" fontId="1" fillId="2" borderId="90" xfId="0" applyFont="1" applyFill="1" applyBorder="1"/>
    <xf numFmtId="4" fontId="1" fillId="6" borderId="16" xfId="0" applyNumberFormat="1" applyFont="1" applyFill="1" applyBorder="1"/>
    <xf numFmtId="49" fontId="0" fillId="0" borderId="89" xfId="0" applyNumberFormat="1" applyBorder="1" applyAlignment="1">
      <alignment horizontal="left"/>
    </xf>
    <xf numFmtId="49" fontId="0" fillId="2" borderId="89" xfId="0" applyNumberFormat="1" applyFill="1" applyBorder="1" applyAlignment="1">
      <alignment horizontal="left"/>
    </xf>
    <xf numFmtId="4" fontId="0" fillId="2" borderId="90" xfId="0" applyNumberFormat="1" applyFill="1" applyBorder="1"/>
    <xf numFmtId="49" fontId="0" fillId="2" borderId="91" xfId="0" applyNumberFormat="1" applyFill="1" applyBorder="1" applyAlignment="1">
      <alignment horizontal="left"/>
    </xf>
    <xf numFmtId="4" fontId="0" fillId="0" borderId="84" xfId="0" applyNumberFormat="1" applyBorder="1"/>
    <xf numFmtId="0" fontId="0" fillId="0" borderId="91" xfId="0" applyBorder="1" applyAlignment="1">
      <alignment horizontal="left"/>
    </xf>
    <xf numFmtId="0" fontId="1" fillId="0" borderId="82" xfId="0" applyFont="1" applyFill="1" applyBorder="1"/>
    <xf numFmtId="0" fontId="0" fillId="0" borderId="88" xfId="0" applyBorder="1" applyAlignment="1">
      <alignment horizontal="center" vertical="center" wrapText="1"/>
    </xf>
    <xf numFmtId="0" fontId="1" fillId="0" borderId="87" xfId="0" applyFont="1" applyBorder="1" applyAlignment="1">
      <alignment horizontal="left" vertical="center" wrapText="1"/>
    </xf>
    <xf numFmtId="0" fontId="0" fillId="0" borderId="90" xfId="0" applyBorder="1" applyAlignment="1">
      <alignment horizontal="center" vertical="center" wrapText="1"/>
    </xf>
    <xf numFmtId="49" fontId="0" fillId="0" borderId="89" xfId="0" applyNumberFormat="1" applyFill="1" applyBorder="1" applyAlignment="1">
      <alignment horizontal="left"/>
    </xf>
    <xf numFmtId="49" fontId="0" fillId="0" borderId="91" xfId="0" applyNumberFormat="1" applyFill="1" applyBorder="1" applyAlignment="1">
      <alignment horizontal="left"/>
    </xf>
    <xf numFmtId="49" fontId="1" fillId="8" borderId="89" xfId="0" applyNumberFormat="1" applyFont="1" applyFill="1" applyBorder="1" applyAlignment="1">
      <alignment horizontal="left"/>
    </xf>
    <xf numFmtId="49" fontId="1" fillId="0" borderId="89" xfId="0" applyNumberFormat="1" applyFont="1" applyFill="1" applyBorder="1" applyAlignment="1">
      <alignment horizontal="left"/>
    </xf>
    <xf numFmtId="0" fontId="1" fillId="0" borderId="90" xfId="0" applyFont="1" applyFill="1" applyBorder="1"/>
    <xf numFmtId="4" fontId="0" fillId="0" borderId="86" xfId="0" applyNumberFormat="1" applyBorder="1"/>
    <xf numFmtId="4" fontId="0" fillId="0" borderId="82" xfId="0" applyNumberFormat="1" applyFont="1" applyFill="1" applyBorder="1"/>
    <xf numFmtId="0" fontId="1" fillId="0" borderId="84" xfId="0" applyFont="1" applyFill="1" applyBorder="1"/>
    <xf numFmtId="10" fontId="1" fillId="0" borderId="82" xfId="0" applyNumberFormat="1" applyFont="1" applyFill="1" applyBorder="1"/>
    <xf numFmtId="0" fontId="1" fillId="2" borderId="89" xfId="0" applyFont="1" applyFill="1" applyBorder="1" applyAlignment="1">
      <alignment horizontal="left" vertical="center" wrapText="1"/>
    </xf>
    <xf numFmtId="49" fontId="0" fillId="0" borderId="89" xfId="0" applyNumberFormat="1" applyFill="1" applyBorder="1" applyAlignment="1">
      <alignment horizontal="left" vertical="center" wrapText="1"/>
    </xf>
    <xf numFmtId="4" fontId="0" fillId="0" borderId="90" xfId="0" applyNumberFormat="1" applyFont="1" applyFill="1" applyBorder="1"/>
    <xf numFmtId="49" fontId="0" fillId="0" borderId="89" xfId="0" applyNumberFormat="1" applyFill="1" applyBorder="1" applyAlignment="1">
      <alignment vertical="center" wrapText="1"/>
    </xf>
    <xf numFmtId="0" fontId="1" fillId="0" borderId="92" xfId="0" applyFont="1" applyFill="1" applyBorder="1"/>
    <xf numFmtId="4" fontId="1" fillId="2" borderId="82" xfId="0" applyNumberFormat="1" applyFont="1" applyFill="1" applyBorder="1" applyAlignment="1">
      <alignment horizontal="center" vertical="center" wrapText="1"/>
    </xf>
    <xf numFmtId="4" fontId="0" fillId="0" borderId="82" xfId="0" applyNumberFormat="1" applyBorder="1" applyAlignment="1">
      <alignment horizontal="center"/>
    </xf>
    <xf numFmtId="4" fontId="0" fillId="0" borderId="82" xfId="0" applyNumberFormat="1" applyFont="1" applyBorder="1" applyAlignment="1">
      <alignment horizontal="center" vertical="center" wrapText="1"/>
    </xf>
    <xf numFmtId="4" fontId="1" fillId="0" borderId="82" xfId="0" applyNumberFormat="1" applyFont="1" applyFill="1" applyBorder="1"/>
    <xf numFmtId="0" fontId="1" fillId="0" borderId="45" xfId="0" applyFont="1" applyFill="1" applyBorder="1"/>
    <xf numFmtId="4" fontId="1" fillId="2" borderId="90" xfId="0" applyNumberFormat="1" applyFont="1" applyFill="1" applyBorder="1" applyAlignment="1">
      <alignment horizontal="center" vertical="center" wrapText="1"/>
    </xf>
    <xf numFmtId="4" fontId="0" fillId="0" borderId="90" xfId="0" applyNumberFormat="1" applyBorder="1" applyAlignment="1">
      <alignment horizontal="center" vertical="center" wrapText="1"/>
    </xf>
    <xf numFmtId="49" fontId="0" fillId="0" borderId="89" xfId="0" applyNumberFormat="1" applyFont="1" applyBorder="1" applyAlignment="1">
      <alignment horizontal="left" vertical="center" wrapText="1"/>
    </xf>
    <xf numFmtId="4" fontId="0" fillId="0" borderId="90" xfId="0" applyNumberFormat="1" applyFont="1" applyBorder="1" applyAlignment="1">
      <alignment horizontal="center" vertical="center" wrapText="1"/>
    </xf>
    <xf numFmtId="49" fontId="1" fillId="0" borderId="89" xfId="0" applyNumberFormat="1" applyFont="1" applyBorder="1" applyAlignment="1">
      <alignment horizontal="left" vertical="center" wrapText="1"/>
    </xf>
    <xf numFmtId="4" fontId="1" fillId="0" borderId="90" xfId="0" applyNumberFormat="1" applyFont="1" applyFill="1" applyBorder="1"/>
    <xf numFmtId="49" fontId="1" fillId="0" borderId="85" xfId="0" applyNumberFormat="1" applyFont="1" applyBorder="1"/>
    <xf numFmtId="4" fontId="1" fillId="6" borderId="16" xfId="0" applyNumberFormat="1" applyFont="1" applyFill="1" applyBorder="1" applyAlignment="1">
      <alignment horizontal="center"/>
    </xf>
    <xf numFmtId="49" fontId="1" fillId="2" borderId="89" xfId="0" applyNumberFormat="1" applyFont="1" applyFill="1" applyBorder="1" applyAlignment="1">
      <alignment horizontal="left"/>
    </xf>
    <xf numFmtId="49" fontId="1" fillId="2" borderId="89" xfId="0" applyNumberFormat="1" applyFont="1" applyFill="1" applyBorder="1" applyAlignment="1">
      <alignment vertical="center" wrapText="1"/>
    </xf>
    <xf numFmtId="49" fontId="0" fillId="0" borderId="89" xfId="0" applyNumberFormat="1" applyBorder="1" applyAlignment="1"/>
    <xf numFmtId="49" fontId="0" fillId="0" borderId="91" xfId="0" applyNumberFormat="1" applyBorder="1" applyAlignment="1"/>
    <xf numFmtId="49" fontId="0" fillId="0" borderId="89" xfId="0" applyNumberFormat="1" applyFont="1" applyFill="1" applyBorder="1" applyAlignment="1">
      <alignment horizontal="left" vertical="center" wrapText="1"/>
    </xf>
    <xf numFmtId="49" fontId="0" fillId="0" borderId="91" xfId="0" applyNumberFormat="1" applyFont="1" applyFill="1" applyBorder="1" applyAlignment="1">
      <alignment horizontal="left" vertical="center" wrapText="1"/>
    </xf>
    <xf numFmtId="49" fontId="1" fillId="2" borderId="91" xfId="0" applyNumberFormat="1" applyFont="1" applyFill="1" applyBorder="1" applyAlignment="1">
      <alignment vertical="center" wrapText="1"/>
    </xf>
    <xf numFmtId="0" fontId="1" fillId="0" borderId="82" xfId="0" applyFont="1" applyFill="1" applyBorder="1" applyAlignment="1">
      <alignment vertical="center" wrapText="1"/>
    </xf>
    <xf numFmtId="49" fontId="1" fillId="0" borderId="89" xfId="0" applyNumberFormat="1" applyFont="1" applyFill="1" applyBorder="1" applyAlignment="1">
      <alignment horizontal="left" vertical="center" wrapText="1"/>
    </xf>
    <xf numFmtId="0" fontId="1" fillId="0" borderId="90" xfId="0" applyFont="1" applyFill="1" applyBorder="1" applyAlignment="1">
      <alignment vertical="center" wrapText="1"/>
    </xf>
    <xf numFmtId="0" fontId="1" fillId="2" borderId="82" xfId="0" applyFont="1" applyFill="1" applyBorder="1" applyAlignment="1">
      <alignment horizontal="center" vertical="center" wrapText="1"/>
    </xf>
    <xf numFmtId="4" fontId="1" fillId="2" borderId="90" xfId="0" applyNumberFormat="1" applyFont="1" applyFill="1" applyBorder="1" applyAlignment="1">
      <alignment horizontal="right" vertical="center" wrapText="1"/>
    </xf>
    <xf numFmtId="49" fontId="1" fillId="2" borderId="85" xfId="0" applyNumberFormat="1" applyFont="1" applyFill="1" applyBorder="1" applyAlignment="1">
      <alignment horizontal="left" vertical="center" wrapText="1"/>
    </xf>
    <xf numFmtId="0" fontId="1" fillId="0" borderId="90" xfId="0" applyFont="1" applyBorder="1"/>
    <xf numFmtId="4" fontId="1" fillId="0" borderId="91" xfId="0" applyNumberFormat="1" applyFont="1" applyBorder="1"/>
    <xf numFmtId="49" fontId="1" fillId="0" borderId="91" xfId="0" applyNumberFormat="1" applyFont="1" applyBorder="1"/>
    <xf numFmtId="0" fontId="0" fillId="0" borderId="73" xfId="0" applyBorder="1"/>
    <xf numFmtId="4" fontId="1" fillId="3" borderId="9" xfId="0" applyNumberFormat="1" applyFont="1" applyFill="1" applyBorder="1"/>
    <xf numFmtId="0" fontId="0" fillId="2" borderId="88" xfId="0" applyFill="1" applyBorder="1"/>
    <xf numFmtId="49" fontId="0" fillId="0" borderId="85" xfId="0" applyNumberFormat="1" applyBorder="1"/>
    <xf numFmtId="0" fontId="1" fillId="2" borderId="88" xfId="0" applyFont="1" applyFill="1" applyBorder="1"/>
    <xf numFmtId="3" fontId="1" fillId="0" borderId="90" xfId="0" applyNumberFormat="1" applyFont="1" applyBorder="1"/>
    <xf numFmtId="4" fontId="0" fillId="2" borderId="86" xfId="0" applyNumberFormat="1" applyFill="1" applyBorder="1"/>
    <xf numFmtId="3" fontId="1" fillId="6" borderId="9" xfId="0" applyNumberFormat="1" applyFont="1" applyFill="1" applyBorder="1"/>
    <xf numFmtId="167" fontId="0" fillId="5" borderId="82" xfId="0" applyNumberFormat="1" applyFill="1" applyBorder="1"/>
    <xf numFmtId="0" fontId="0" fillId="6" borderId="12" xfId="0" applyFill="1" applyBorder="1"/>
    <xf numFmtId="167" fontId="0" fillId="5" borderId="90" xfId="0" applyNumberFormat="1" applyFill="1" applyBorder="1"/>
    <xf numFmtId="4" fontId="0" fillId="6" borderId="9" xfId="0" applyNumberFormat="1" applyFill="1" applyBorder="1"/>
    <xf numFmtId="4" fontId="0" fillId="2" borderId="89" xfId="0" applyNumberFormat="1" applyFill="1" applyBorder="1" applyAlignment="1">
      <alignment horizontal="left"/>
    </xf>
    <xf numFmtId="4" fontId="0" fillId="0" borderId="89" xfId="0" applyNumberFormat="1" applyBorder="1" applyAlignment="1">
      <alignment horizontal="left"/>
    </xf>
    <xf numFmtId="4" fontId="1" fillId="0" borderId="89" xfId="0" applyNumberFormat="1" applyFont="1" applyFill="1" applyBorder="1" applyAlignment="1">
      <alignment horizontal="left"/>
    </xf>
    <xf numFmtId="4" fontId="1" fillId="8" borderId="89" xfId="0" applyNumberFormat="1" applyFont="1" applyFill="1" applyBorder="1" applyAlignment="1">
      <alignment horizontal="left"/>
    </xf>
    <xf numFmtId="4" fontId="1" fillId="0" borderId="82" xfId="0" applyNumberFormat="1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4" fontId="1" fillId="0" borderId="90" xfId="0" applyNumberFormat="1" applyFont="1" applyBorder="1" applyAlignment="1">
      <alignment horizontal="center" vertical="center" wrapText="1"/>
    </xf>
    <xf numFmtId="4" fontId="1" fillId="0" borderId="86" xfId="0" applyNumberFormat="1" applyFont="1" applyFill="1" applyBorder="1"/>
    <xf numFmtId="4" fontId="1" fillId="2" borderId="82" xfId="0" applyNumberFormat="1" applyFont="1" applyFill="1" applyBorder="1" applyAlignment="1">
      <alignment horizontal="right" vertical="center" wrapText="1"/>
    </xf>
    <xf numFmtId="4" fontId="0" fillId="0" borderId="82" xfId="0" applyNumberFormat="1" applyBorder="1" applyAlignment="1">
      <alignment horizontal="right"/>
    </xf>
    <xf numFmtId="4" fontId="0" fillId="0" borderId="84" xfId="0" applyNumberFormat="1" applyBorder="1" applyAlignment="1">
      <alignment horizontal="right"/>
    </xf>
    <xf numFmtId="0" fontId="0" fillId="0" borderId="31" xfId="0" applyBorder="1"/>
    <xf numFmtId="0" fontId="0" fillId="0" borderId="48" xfId="0" applyBorder="1"/>
    <xf numFmtId="0" fontId="19" fillId="0" borderId="31" xfId="0" applyFont="1" applyBorder="1"/>
    <xf numFmtId="4" fontId="0" fillId="0" borderId="90" xfId="0" applyNumberFormat="1" applyBorder="1" applyAlignment="1">
      <alignment horizontal="right"/>
    </xf>
    <xf numFmtId="4" fontId="0" fillId="0" borderId="92" xfId="0" applyNumberFormat="1" applyBorder="1" applyAlignment="1">
      <alignment horizontal="right"/>
    </xf>
    <xf numFmtId="43" fontId="0" fillId="0" borderId="1" xfId="1" applyFont="1" applyBorder="1" applyAlignment="1">
      <alignment horizontal="right"/>
    </xf>
    <xf numFmtId="43" fontId="0" fillId="0" borderId="90" xfId="1" applyFont="1" applyBorder="1" applyAlignment="1">
      <alignment horizontal="right"/>
    </xf>
    <xf numFmtId="43" fontId="0" fillId="0" borderId="24" xfId="0" applyNumberFormat="1" applyBorder="1" applyAlignment="1">
      <alignment horizontal="right"/>
    </xf>
    <xf numFmtId="43" fontId="0" fillId="0" borderId="1" xfId="0" applyNumberFormat="1" applyBorder="1" applyAlignment="1">
      <alignment horizontal="right"/>
    </xf>
    <xf numFmtId="43" fontId="0" fillId="0" borderId="90" xfId="0" applyNumberFormat="1" applyBorder="1" applyAlignment="1">
      <alignment horizontal="right"/>
    </xf>
    <xf numFmtId="4" fontId="1" fillId="0" borderId="24" xfId="0" applyNumberFormat="1" applyFont="1" applyBorder="1" applyAlignment="1" applyProtection="1">
      <alignment horizontal="right"/>
      <protection locked="0"/>
    </xf>
    <xf numFmtId="4" fontId="1" fillId="0" borderId="1" xfId="1" applyNumberFormat="1" applyFont="1" applyBorder="1" applyAlignment="1" applyProtection="1">
      <alignment horizontal="right"/>
      <protection locked="0"/>
    </xf>
    <xf numFmtId="0" fontId="0" fillId="0" borderId="24" xfId="0" applyBorder="1" applyAlignment="1">
      <alignment horizontal="right"/>
    </xf>
    <xf numFmtId="43" fontId="1" fillId="0" borderId="1" xfId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90" xfId="0" applyBorder="1" applyAlignment="1">
      <alignment horizontal="right"/>
    </xf>
    <xf numFmtId="4" fontId="1" fillId="0" borderId="24" xfId="0" applyNumberFormat="1" applyFont="1" applyBorder="1" applyAlignment="1">
      <alignment horizontal="right"/>
    </xf>
    <xf numFmtId="4" fontId="1" fillId="0" borderId="1" xfId="1" applyNumberFormat="1" applyFont="1" applyBorder="1" applyAlignment="1">
      <alignment horizontal="right"/>
    </xf>
    <xf numFmtId="4" fontId="1" fillId="0" borderId="90" xfId="1" applyNumberFormat="1" applyFont="1" applyBorder="1" applyAlignment="1">
      <alignment horizontal="right"/>
    </xf>
    <xf numFmtId="168" fontId="0" fillId="0" borderId="31" xfId="0" applyNumberFormat="1" applyBorder="1" applyAlignment="1">
      <alignment vertical="center" wrapText="1"/>
    </xf>
    <xf numFmtId="168" fontId="0" fillId="0" borderId="32" xfId="0" applyNumberFormat="1" applyBorder="1" applyAlignment="1">
      <alignment vertical="center" wrapText="1"/>
    </xf>
    <xf numFmtId="168" fontId="0" fillId="0" borderId="32" xfId="0" applyNumberFormat="1" applyBorder="1"/>
    <xf numFmtId="168" fontId="0" fillId="0" borderId="94" xfId="0" applyNumberFormat="1" applyBorder="1"/>
    <xf numFmtId="168" fontId="0" fillId="0" borderId="1" xfId="0" applyNumberFormat="1" applyBorder="1" applyAlignment="1">
      <alignment vertical="center" wrapText="1"/>
    </xf>
    <xf numFmtId="168" fontId="0" fillId="0" borderId="1" xfId="0" applyNumberFormat="1" applyBorder="1"/>
    <xf numFmtId="0" fontId="0" fillId="0" borderId="5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49" fontId="0" fillId="0" borderId="87" xfId="0" applyNumberForma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168" fontId="1" fillId="2" borderId="8" xfId="0" applyNumberFormat="1" applyFont="1" applyFill="1" applyBorder="1" applyAlignment="1">
      <alignment vertical="center" wrapText="1"/>
    </xf>
    <xf numFmtId="168" fontId="1" fillId="2" borderId="9" xfId="0" applyNumberFormat="1" applyFont="1" applyFill="1" applyBorder="1" applyAlignment="1">
      <alignment vertical="center" wrapText="1"/>
    </xf>
    <xf numFmtId="168" fontId="1" fillId="2" borderId="10" xfId="0" applyNumberFormat="1" applyFont="1" applyFill="1" applyBorder="1" applyAlignment="1">
      <alignment vertical="center" wrapText="1"/>
    </xf>
    <xf numFmtId="168" fontId="1" fillId="2" borderId="14" xfId="0" applyNumberFormat="1" applyFont="1" applyFill="1" applyBorder="1" applyAlignment="1">
      <alignment vertical="center" wrapText="1"/>
    </xf>
    <xf numFmtId="168" fontId="1" fillId="2" borderId="4" xfId="0" applyNumberFormat="1" applyFont="1" applyFill="1" applyBorder="1" applyAlignment="1">
      <alignment vertical="center" wrapText="1"/>
    </xf>
    <xf numFmtId="168" fontId="0" fillId="0" borderId="3" xfId="0" applyNumberFormat="1" applyBorder="1" applyAlignment="1">
      <alignment vertical="center" wrapText="1"/>
    </xf>
    <xf numFmtId="168" fontId="0" fillId="0" borderId="15" xfId="0" applyNumberFormat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21" xfId="0" applyFill="1" applyBorder="1" applyAlignment="1">
      <alignment vertical="center" wrapText="1"/>
    </xf>
    <xf numFmtId="168" fontId="0" fillId="0" borderId="88" xfId="0" applyNumberFormat="1" applyBorder="1" applyAlignment="1">
      <alignment vertical="center" wrapText="1"/>
    </xf>
    <xf numFmtId="168" fontId="0" fillId="0" borderId="95" xfId="0" applyNumberFormat="1" applyBorder="1" applyAlignment="1">
      <alignment vertical="center" wrapText="1"/>
    </xf>
    <xf numFmtId="168" fontId="0" fillId="0" borderId="52" xfId="0" applyNumberFormat="1" applyBorder="1"/>
    <xf numFmtId="0" fontId="1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8" fontId="1" fillId="2" borderId="12" xfId="0" applyNumberFormat="1" applyFont="1" applyFill="1" applyBorder="1" applyAlignment="1">
      <alignment vertical="center" wrapText="1"/>
    </xf>
    <xf numFmtId="168" fontId="0" fillId="0" borderId="48" xfId="0" applyNumberFormat="1" applyBorder="1" applyAlignment="1">
      <alignment vertical="center" wrapText="1"/>
    </xf>
    <xf numFmtId="168" fontId="0" fillId="0" borderId="96" xfId="0" applyNumberFormat="1" applyBorder="1" applyAlignment="1">
      <alignment vertical="center" wrapText="1"/>
    </xf>
    <xf numFmtId="168" fontId="0" fillId="0" borderId="97" xfId="0" applyNumberFormat="1" applyBorder="1" applyAlignment="1">
      <alignment vertical="center" wrapText="1"/>
    </xf>
    <xf numFmtId="168" fontId="0" fillId="0" borderId="97" xfId="0" applyNumberFormat="1" applyBorder="1"/>
    <xf numFmtId="168" fontId="0" fillId="0" borderId="98" xfId="0" applyNumberFormat="1" applyBorder="1"/>
    <xf numFmtId="0" fontId="0" fillId="0" borderId="48" xfId="0" applyBorder="1" applyAlignment="1">
      <alignment horizontal="center" vertical="center" wrapText="1"/>
    </xf>
    <xf numFmtId="43" fontId="1" fillId="2" borderId="15" xfId="1" applyFont="1" applyFill="1" applyBorder="1" applyAlignment="1"/>
    <xf numFmtId="49" fontId="1" fillId="0" borderId="58" xfId="0" applyNumberFormat="1" applyFont="1" applyFill="1" applyBorder="1" applyAlignment="1">
      <alignment vertical="center" wrapText="1"/>
    </xf>
    <xf numFmtId="0" fontId="19" fillId="0" borderId="51" xfId="0" applyFont="1" applyFill="1" applyBorder="1" applyAlignment="1">
      <alignment vertical="center" wrapText="1"/>
    </xf>
    <xf numFmtId="49" fontId="1" fillId="0" borderId="51" xfId="0" applyNumberFormat="1" applyFont="1" applyFill="1" applyBorder="1" applyAlignment="1">
      <alignment horizontal="center" vertical="center" wrapText="1"/>
    </xf>
    <xf numFmtId="43" fontId="1" fillId="0" borderId="51" xfId="1" applyFont="1" applyFill="1" applyBorder="1" applyAlignment="1"/>
    <xf numFmtId="43" fontId="1" fillId="0" borderId="51" xfId="1" applyFont="1" applyFill="1" applyBorder="1" applyAlignment="1">
      <alignment horizontal="right"/>
    </xf>
    <xf numFmtId="49" fontId="1" fillId="20" borderId="43" xfId="0" applyNumberFormat="1" applyFont="1" applyFill="1" applyBorder="1" applyAlignment="1">
      <alignment vertical="center" wrapText="1"/>
    </xf>
    <xf numFmtId="0" fontId="3" fillId="20" borderId="43" xfId="0" applyFont="1" applyFill="1" applyBorder="1" applyAlignment="1">
      <alignment vertical="center" wrapText="1"/>
    </xf>
    <xf numFmtId="0" fontId="1" fillId="20" borderId="43" xfId="0" applyFont="1" applyFill="1" applyBorder="1" applyAlignment="1">
      <alignment horizontal="center"/>
    </xf>
    <xf numFmtId="43" fontId="1" fillId="20" borderId="43" xfId="1" applyFont="1" applyFill="1" applyBorder="1" applyAlignment="1"/>
    <xf numFmtId="49" fontId="1" fillId="2" borderId="17" xfId="0" applyNumberFormat="1" applyFont="1" applyFill="1" applyBorder="1" applyAlignment="1">
      <alignment horizontal="left"/>
    </xf>
    <xf numFmtId="49" fontId="1" fillId="7" borderId="8" xfId="0" applyNumberFormat="1" applyFont="1" applyFill="1" applyBorder="1" applyAlignment="1">
      <alignment horizontal="left"/>
    </xf>
    <xf numFmtId="0" fontId="1" fillId="2" borderId="26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left"/>
    </xf>
    <xf numFmtId="0" fontId="1" fillId="2" borderId="67" xfId="0" applyFont="1" applyFill="1" applyBorder="1" applyAlignment="1">
      <alignment horizontal="center"/>
    </xf>
    <xf numFmtId="43" fontId="1" fillId="2" borderId="68" xfId="1" applyFont="1" applyFill="1" applyBorder="1" applyAlignment="1"/>
    <xf numFmtId="43" fontId="1" fillId="2" borderId="68" xfId="1" applyFont="1" applyFill="1" applyBorder="1" applyAlignment="1">
      <alignment horizontal="right"/>
    </xf>
    <xf numFmtId="43" fontId="1" fillId="2" borderId="71" xfId="1" applyFont="1" applyFill="1" applyBorder="1" applyAlignment="1">
      <alignment horizontal="right"/>
    </xf>
    <xf numFmtId="0" fontId="1" fillId="7" borderId="72" xfId="0" applyFont="1" applyFill="1" applyBorder="1" applyAlignment="1">
      <alignment horizontal="center"/>
    </xf>
    <xf numFmtId="43" fontId="1" fillId="2" borderId="52" xfId="1" applyFont="1" applyFill="1" applyBorder="1" applyAlignment="1"/>
    <xf numFmtId="43" fontId="1" fillId="7" borderId="52" xfId="1" applyFont="1" applyFill="1" applyBorder="1" applyAlignment="1">
      <alignment horizontal="right"/>
    </xf>
    <xf numFmtId="43" fontId="1" fillId="7" borderId="73" xfId="1" applyFont="1" applyFill="1" applyBorder="1" applyAlignment="1">
      <alignment horizontal="right"/>
    </xf>
    <xf numFmtId="4" fontId="1" fillId="2" borderId="15" xfId="0" applyNumberFormat="1" applyFont="1" applyFill="1" applyBorder="1" applyAlignment="1">
      <alignment horizontal="center"/>
    </xf>
    <xf numFmtId="4" fontId="1" fillId="2" borderId="0" xfId="0" applyNumberFormat="1" applyFont="1" applyFill="1" applyBorder="1" applyAlignment="1">
      <alignment horizontal="center"/>
    </xf>
    <xf numFmtId="4" fontId="1" fillId="5" borderId="19" xfId="0" applyNumberFormat="1" applyFont="1" applyFill="1" applyBorder="1" applyAlignment="1">
      <alignment horizontal="center"/>
    </xf>
    <xf numFmtId="0" fontId="34" fillId="0" borderId="0" xfId="0" applyFont="1"/>
    <xf numFmtId="0" fontId="34" fillId="0" borderId="1" xfId="0" applyFont="1" applyBorder="1"/>
    <xf numFmtId="0" fontId="38" fillId="0" borderId="1" xfId="0" applyFont="1" applyBorder="1"/>
    <xf numFmtId="0" fontId="38" fillId="0" borderId="1" xfId="0" applyFont="1" applyBorder="1" applyAlignment="1">
      <alignment wrapText="1"/>
    </xf>
    <xf numFmtId="4" fontId="34" fillId="0" borderId="1" xfId="0" applyNumberFormat="1" applyFont="1" applyBorder="1"/>
    <xf numFmtId="4" fontId="38" fillId="0" borderId="1" xfId="0" applyNumberFormat="1" applyFont="1" applyBorder="1"/>
    <xf numFmtId="43" fontId="0" fillId="0" borderId="1" xfId="1" applyFont="1" applyFill="1" applyBorder="1" applyAlignment="1">
      <alignment horizontal="right"/>
    </xf>
    <xf numFmtId="49" fontId="1" fillId="7" borderId="99" xfId="0" applyNumberFormat="1" applyFont="1" applyFill="1" applyBorder="1" applyAlignment="1">
      <alignment horizontal="left" vertical="center" wrapText="1"/>
    </xf>
    <xf numFmtId="49" fontId="0" fillId="0" borderId="100" xfId="0" applyNumberFormat="1" applyBorder="1" applyAlignment="1">
      <alignment horizontal="left" vertical="center" wrapText="1"/>
    </xf>
    <xf numFmtId="0" fontId="1" fillId="7" borderId="101" xfId="0" applyFont="1" applyFill="1" applyBorder="1" applyAlignment="1">
      <alignment horizontal="left" vertical="center" wrapText="1"/>
    </xf>
    <xf numFmtId="49" fontId="1" fillId="7" borderId="101" xfId="0" applyNumberFormat="1" applyFont="1" applyFill="1" applyBorder="1" applyAlignment="1">
      <alignment horizontal="left" vertical="center" wrapText="1"/>
    </xf>
    <xf numFmtId="49" fontId="0" fillId="0" borderId="91" xfId="0" applyNumberFormat="1" applyBorder="1" applyAlignment="1">
      <alignment horizontal="left" vertical="center" wrapText="1"/>
    </xf>
    <xf numFmtId="49" fontId="1" fillId="7" borderId="102" xfId="0" applyNumberFormat="1" applyFont="1" applyFill="1" applyBorder="1" applyAlignment="1">
      <alignment horizontal="left" vertical="center" wrapText="1"/>
    </xf>
    <xf numFmtId="49" fontId="0" fillId="7" borderId="102" xfId="0" applyNumberFormat="1" applyFill="1" applyBorder="1" applyAlignment="1">
      <alignment vertical="center" wrapText="1"/>
    </xf>
    <xf numFmtId="49" fontId="0" fillId="0" borderId="87" xfId="0" applyNumberFormat="1" applyBorder="1" applyAlignment="1">
      <alignment vertical="center" wrapText="1"/>
    </xf>
    <xf numFmtId="49" fontId="0" fillId="0" borderId="100" xfId="0" applyNumberFormat="1" applyBorder="1" applyAlignment="1">
      <alignment vertical="center" wrapText="1"/>
    </xf>
    <xf numFmtId="49" fontId="1" fillId="7" borderId="101" xfId="0" applyNumberFormat="1" applyFont="1" applyFill="1" applyBorder="1" applyAlignment="1">
      <alignment vertical="center" wrapText="1"/>
    </xf>
    <xf numFmtId="49" fontId="1" fillId="7" borderId="101" xfId="0" applyNumberFormat="1" applyFont="1" applyFill="1" applyBorder="1"/>
    <xf numFmtId="49" fontId="1" fillId="7" borderId="91" xfId="0" applyNumberFormat="1" applyFont="1" applyFill="1" applyBorder="1" applyAlignment="1">
      <alignment vertical="center" wrapText="1"/>
    </xf>
    <xf numFmtId="49" fontId="1" fillId="7" borderId="102" xfId="0" applyNumberFormat="1" applyFont="1" applyFill="1" applyBorder="1"/>
    <xf numFmtId="49" fontId="1" fillId="7" borderId="85" xfId="0" applyNumberFormat="1" applyFont="1" applyFill="1" applyBorder="1"/>
    <xf numFmtId="49" fontId="1" fillId="7" borderId="85" xfId="0" applyNumberFormat="1" applyFont="1" applyFill="1" applyBorder="1" applyAlignment="1">
      <alignment vertical="center" wrapText="1"/>
    </xf>
    <xf numFmtId="4" fontId="1" fillId="2" borderId="93" xfId="0" applyNumberFormat="1" applyFont="1" applyFill="1" applyBorder="1" applyAlignment="1">
      <alignment horizontal="center"/>
    </xf>
    <xf numFmtId="49" fontId="1" fillId="2" borderId="85" xfId="0" applyNumberFormat="1" applyFont="1" applyFill="1" applyBorder="1" applyAlignment="1">
      <alignment horizontal="left"/>
    </xf>
    <xf numFmtId="4" fontId="1" fillId="2" borderId="48" xfId="0" applyNumberFormat="1" applyFont="1" applyFill="1" applyBorder="1" applyAlignment="1">
      <alignment horizontal="center"/>
    </xf>
    <xf numFmtId="49" fontId="1" fillId="7" borderId="17" xfId="0" applyNumberFormat="1" applyFont="1" applyFill="1" applyBorder="1" applyAlignment="1">
      <alignment horizontal="left"/>
    </xf>
    <xf numFmtId="49" fontId="1" fillId="20" borderId="102" xfId="0" applyNumberFormat="1" applyFont="1" applyFill="1" applyBorder="1" applyAlignment="1">
      <alignment vertical="center" wrapText="1"/>
    </xf>
    <xf numFmtId="49" fontId="1" fillId="7" borderId="101" xfId="0" applyNumberFormat="1" applyFont="1" applyFill="1" applyBorder="1" applyAlignment="1">
      <alignment vertical="center"/>
    </xf>
    <xf numFmtId="49" fontId="1" fillId="7" borderId="102" xfId="0" applyNumberFormat="1" applyFont="1" applyFill="1" applyBorder="1" applyAlignment="1">
      <alignment vertical="center" wrapText="1"/>
    </xf>
    <xf numFmtId="4" fontId="0" fillId="0" borderId="9" xfId="0" applyNumberFormat="1" applyBorder="1"/>
    <xf numFmtId="0" fontId="0" fillId="0" borderId="14" xfId="0" applyBorder="1" applyAlignment="1">
      <alignment horizontal="center"/>
    </xf>
    <xf numFmtId="4" fontId="0" fillId="0" borderId="22" xfId="0" applyNumberFormat="1" applyBorder="1"/>
    <xf numFmtId="4" fontId="0" fillId="0" borderId="16" xfId="0" applyNumberFormat="1" applyBorder="1"/>
    <xf numFmtId="43" fontId="1" fillId="6" borderId="14" xfId="1" applyFont="1" applyFill="1" applyBorder="1" applyAlignment="1">
      <alignment vertical="center" wrapText="1"/>
    </xf>
    <xf numFmtId="43" fontId="1" fillId="6" borderId="20" xfId="1" applyFont="1" applyFill="1" applyBorder="1" applyAlignment="1">
      <alignment horizontal="right" vertical="center" wrapText="1"/>
    </xf>
    <xf numFmtId="43" fontId="1" fillId="6" borderId="12" xfId="1" applyFont="1" applyFill="1" applyBorder="1" applyAlignment="1">
      <alignment horizontal="right" vertical="center" wrapText="1"/>
    </xf>
    <xf numFmtId="0" fontId="3" fillId="6" borderId="22" xfId="0" applyFont="1" applyFill="1" applyBorder="1" applyAlignment="1">
      <alignment vertical="center" wrapText="1"/>
    </xf>
    <xf numFmtId="43" fontId="1" fillId="6" borderId="16" xfId="1" applyFont="1" applyFill="1" applyBorder="1" applyAlignment="1">
      <alignment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4" fontId="0" fillId="5" borderId="65" xfId="0" applyNumberFormat="1" applyFill="1" applyBorder="1" applyAlignment="1">
      <alignment horizontal="center" vertical="center" wrapText="1"/>
    </xf>
    <xf numFmtId="4" fontId="0" fillId="0" borderId="65" xfId="0" applyNumberFormat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center" vertical="center" wrapText="1"/>
    </xf>
    <xf numFmtId="4" fontId="1" fillId="6" borderId="4" xfId="0" applyNumberFormat="1" applyFont="1" applyFill="1" applyBorder="1" applyAlignment="1">
      <alignment horizontal="center" vertical="center" wrapText="1"/>
    </xf>
    <xf numFmtId="4" fontId="1" fillId="6" borderId="20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right"/>
    </xf>
    <xf numFmtId="0" fontId="34" fillId="0" borderId="1" xfId="0" applyFont="1" applyBorder="1" applyAlignment="1">
      <alignment wrapText="1"/>
    </xf>
    <xf numFmtId="49" fontId="1" fillId="6" borderId="0" xfId="0" applyNumberFormat="1" applyFont="1" applyFill="1" applyBorder="1"/>
    <xf numFmtId="0" fontId="38" fillId="0" borderId="0" xfId="0" applyFont="1"/>
    <xf numFmtId="0" fontId="38" fillId="0" borderId="0" xfId="0" applyFont="1" applyBorder="1" applyAlignment="1">
      <alignment wrapText="1"/>
    </xf>
    <xf numFmtId="0" fontId="38" fillId="0" borderId="0" xfId="0" applyFont="1" applyBorder="1"/>
    <xf numFmtId="0" fontId="38" fillId="15" borderId="1" xfId="0" applyFont="1" applyFill="1" applyBorder="1" applyAlignment="1">
      <alignment wrapText="1"/>
    </xf>
    <xf numFmtId="0" fontId="78" fillId="0" borderId="0" xfId="0" applyFont="1"/>
    <xf numFmtId="43" fontId="34" fillId="0" borderId="1" xfId="0" applyNumberFormat="1" applyFont="1" applyBorder="1"/>
    <xf numFmtId="0" fontId="34" fillId="15" borderId="1" xfId="0" applyFont="1" applyFill="1" applyBorder="1"/>
    <xf numFmtId="43" fontId="34" fillId="15" borderId="1" xfId="0" applyNumberFormat="1" applyFont="1" applyFill="1" applyBorder="1"/>
    <xf numFmtId="43" fontId="34" fillId="0" borderId="0" xfId="0" applyNumberFormat="1" applyFont="1"/>
    <xf numFmtId="43" fontId="38" fillId="0" borderId="1" xfId="0" applyNumberFormat="1" applyFont="1" applyBorder="1"/>
    <xf numFmtId="2" fontId="34" fillId="0" borderId="1" xfId="0" applyNumberFormat="1" applyFont="1" applyBorder="1" applyAlignment="1">
      <alignment wrapText="1"/>
    </xf>
    <xf numFmtId="4" fontId="34" fillId="0" borderId="1" xfId="0" applyNumberFormat="1" applyFont="1" applyBorder="1" applyAlignment="1">
      <alignment wrapText="1"/>
    </xf>
    <xf numFmtId="4" fontId="38" fillId="0" borderId="1" xfId="0" applyNumberFormat="1" applyFont="1" applyBorder="1" applyAlignment="1">
      <alignment wrapText="1"/>
    </xf>
    <xf numFmtId="0" fontId="1" fillId="0" borderId="1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4" fontId="3" fillId="2" borderId="51" xfId="0" applyNumberFormat="1" applyFont="1" applyFill="1" applyBorder="1" applyAlignment="1">
      <alignment horizontal="right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2" borderId="29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5" borderId="1" xfId="0" applyNumberFormat="1" applyFont="1" applyFill="1" applyBorder="1" applyAlignment="1">
      <alignment horizontal="right" vertical="center" wrapText="1"/>
    </xf>
    <xf numFmtId="4" fontId="3" fillId="7" borderId="1" xfId="0" applyNumberFormat="1" applyFont="1" applyFill="1" applyBorder="1" applyAlignment="1">
      <alignment horizontal="right" vertical="center" wrapText="1"/>
    </xf>
    <xf numFmtId="4" fontId="2" fillId="5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left" vertical="center" wrapText="1"/>
    </xf>
    <xf numFmtId="49" fontId="0" fillId="0" borderId="89" xfId="0" applyNumberFormat="1" applyFill="1" applyBorder="1"/>
    <xf numFmtId="4" fontId="2" fillId="0" borderId="90" xfId="0" applyNumberFormat="1" applyFont="1" applyFill="1" applyBorder="1" applyAlignment="1">
      <alignment horizontal="left" vertical="center" wrapText="1"/>
    </xf>
    <xf numFmtId="4" fontId="1" fillId="7" borderId="103" xfId="0" applyNumberFormat="1" applyFont="1" applyFill="1" applyBorder="1"/>
    <xf numFmtId="4" fontId="1" fillId="7" borderId="104" xfId="0" applyNumberFormat="1" applyFont="1" applyFill="1" applyBorder="1"/>
    <xf numFmtId="4" fontId="1" fillId="7" borderId="76" xfId="0" applyNumberFormat="1" applyFont="1" applyFill="1" applyBorder="1"/>
    <xf numFmtId="4" fontId="38" fillId="0" borderId="0" xfId="0" applyNumberFormat="1" applyFont="1" applyBorder="1"/>
    <xf numFmtId="0" fontId="38" fillId="6" borderId="1" xfId="0" applyFont="1" applyFill="1" applyBorder="1" applyAlignment="1">
      <alignment wrapText="1"/>
    </xf>
    <xf numFmtId="0" fontId="38" fillId="6" borderId="1" xfId="0" applyFont="1" applyFill="1" applyBorder="1"/>
    <xf numFmtId="4" fontId="38" fillId="6" borderId="1" xfId="0" applyNumberFormat="1" applyFont="1" applyFill="1" applyBorder="1" applyAlignment="1">
      <alignment wrapText="1"/>
    </xf>
    <xf numFmtId="2" fontId="34" fillId="0" borderId="0" xfId="0" applyNumberFormat="1" applyFont="1" applyBorder="1" applyAlignment="1">
      <alignment wrapText="1"/>
    </xf>
    <xf numFmtId="0" fontId="38" fillId="0" borderId="0" xfId="0" applyFont="1" applyAlignment="1"/>
    <xf numFmtId="49" fontId="1" fillId="6" borderId="10" xfId="0" applyNumberFormat="1" applyFont="1" applyFill="1" applyBorder="1"/>
    <xf numFmtId="4" fontId="0" fillId="0" borderId="15" xfId="0" applyNumberFormat="1" applyFill="1" applyBorder="1"/>
    <xf numFmtId="4" fontId="0" fillId="0" borderId="0" xfId="0" applyNumberFormat="1" applyFill="1" applyBorder="1"/>
    <xf numFmtId="43" fontId="0" fillId="0" borderId="0" xfId="1" applyFont="1" applyAlignment="1">
      <alignment horizontal="right"/>
    </xf>
    <xf numFmtId="43" fontId="0" fillId="2" borderId="14" xfId="1" applyFont="1" applyFill="1" applyBorder="1" applyAlignment="1">
      <alignment horizontal="center" vertical="center" wrapText="1"/>
    </xf>
    <xf numFmtId="4" fontId="1" fillId="0" borderId="24" xfId="0" applyNumberFormat="1" applyFont="1" applyBorder="1"/>
    <xf numFmtId="4" fontId="1" fillId="0" borderId="25" xfId="0" applyNumberFormat="1" applyFont="1" applyBorder="1"/>
    <xf numFmtId="4" fontId="1" fillId="7" borderId="4" xfId="0" applyNumberFormat="1" applyFont="1" applyFill="1" applyBorder="1"/>
    <xf numFmtId="0" fontId="0" fillId="0" borderId="9" xfId="0" applyBorder="1"/>
    <xf numFmtId="164" fontId="0" fillId="0" borderId="1" xfId="0" applyNumberFormat="1" applyBorder="1"/>
    <xf numFmtId="43" fontId="0" fillId="29" borderId="32" xfId="0" applyNumberFormat="1" applyFill="1" applyBorder="1"/>
    <xf numFmtId="43" fontId="0" fillId="29" borderId="105" xfId="0" applyNumberFormat="1" applyFill="1" applyBorder="1"/>
    <xf numFmtId="43" fontId="0" fillId="29" borderId="10" xfId="0" applyNumberFormat="1" applyFill="1" applyBorder="1"/>
    <xf numFmtId="0" fontId="15" fillId="0" borderId="1" xfId="0" applyFont="1" applyBorder="1" applyAlignment="1">
      <alignment wrapText="1"/>
    </xf>
    <xf numFmtId="43" fontId="1" fillId="29" borderId="10" xfId="0" applyNumberFormat="1" applyFont="1" applyFill="1" applyBorder="1"/>
    <xf numFmtId="43" fontId="1" fillId="29" borderId="32" xfId="0" applyNumberFormat="1" applyFont="1" applyFill="1" applyBorder="1"/>
    <xf numFmtId="0" fontId="0" fillId="0" borderId="1" xfId="0" applyBorder="1" applyAlignment="1"/>
    <xf numFmtId="0" fontId="53" fillId="2" borderId="1" xfId="0" applyFont="1" applyFill="1" applyBorder="1"/>
    <xf numFmtId="0" fontId="53" fillId="22" borderId="1" xfId="0" applyFont="1" applyFill="1" applyBorder="1"/>
    <xf numFmtId="0" fontId="6" fillId="5" borderId="1" xfId="0" applyFont="1" applyFill="1" applyBorder="1"/>
    <xf numFmtId="0" fontId="53" fillId="23" borderId="1" xfId="0" applyFont="1" applyFill="1" applyBorder="1"/>
    <xf numFmtId="167" fontId="53" fillId="2" borderId="1" xfId="0" applyNumberFormat="1" applyFont="1" applyFill="1" applyBorder="1"/>
    <xf numFmtId="167" fontId="6" fillId="5" borderId="1" xfId="0" applyNumberFormat="1" applyFont="1" applyFill="1" applyBorder="1"/>
    <xf numFmtId="167" fontId="0" fillId="0" borderId="1" xfId="0" applyNumberFormat="1" applyFill="1" applyBorder="1"/>
    <xf numFmtId="167" fontId="0" fillId="0" borderId="1" xfId="0" applyNumberFormat="1" applyBorder="1"/>
    <xf numFmtId="167" fontId="0" fillId="0" borderId="1" xfId="0" applyNumberFormat="1" applyBorder="1" applyAlignment="1"/>
    <xf numFmtId="167" fontId="53" fillId="22" borderId="1" xfId="0" applyNumberFormat="1" applyFont="1" applyFill="1" applyBorder="1"/>
    <xf numFmtId="0" fontId="23" fillId="0" borderId="1" xfId="0" applyFont="1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1" xfId="0" applyNumberForma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0" fillId="4" borderId="1" xfId="0" applyNumberFormat="1" applyFill="1" applyBorder="1"/>
    <xf numFmtId="0" fontId="0" fillId="0" borderId="1" xfId="1" applyNumberFormat="1" applyFont="1" applyBorder="1" applyAlignment="1">
      <alignment horizontal="center" vertical="center" wrapText="1"/>
    </xf>
    <xf numFmtId="43" fontId="0" fillId="0" borderId="33" xfId="1" applyFont="1" applyBorder="1" applyAlignment="1">
      <alignment horizontal="right" vertical="center"/>
    </xf>
    <xf numFmtId="43" fontId="0" fillId="0" borderId="39" xfId="1" applyFont="1" applyBorder="1" applyAlignment="1">
      <alignment horizontal="right" vertical="center"/>
    </xf>
    <xf numFmtId="43" fontId="1" fillId="7" borderId="42" xfId="1" applyFont="1" applyFill="1" applyBorder="1" applyAlignment="1">
      <alignment horizontal="right" vertical="center"/>
    </xf>
    <xf numFmtId="43" fontId="0" fillId="0" borderId="6" xfId="1" applyFont="1" applyBorder="1" applyAlignment="1">
      <alignment horizontal="right" vertical="center" wrapText="1"/>
    </xf>
    <xf numFmtId="0" fontId="3" fillId="17" borderId="1" xfId="0" applyFont="1" applyFill="1" applyBorder="1" applyAlignment="1">
      <alignment vertical="center" wrapText="1"/>
    </xf>
    <xf numFmtId="0" fontId="1" fillId="17" borderId="1" xfId="0" applyFont="1" applyFill="1" applyBorder="1" applyAlignment="1">
      <alignment horizontal="center" vertical="center"/>
    </xf>
    <xf numFmtId="0" fontId="1" fillId="17" borderId="2" xfId="0" applyFont="1" applyFill="1" applyBorder="1"/>
    <xf numFmtId="4" fontId="1" fillId="17" borderId="2" xfId="0" applyNumberFormat="1" applyFont="1" applyFill="1" applyBorder="1"/>
    <xf numFmtId="49" fontId="0" fillId="17" borderId="1" xfId="0" applyNumberFormat="1" applyFont="1" applyFill="1" applyBorder="1" applyAlignment="1">
      <alignment horizontal="left" vertical="center" wrapText="1"/>
    </xf>
    <xf numFmtId="43" fontId="1" fillId="7" borderId="75" xfId="1" applyFont="1" applyFill="1" applyBorder="1" applyAlignment="1"/>
    <xf numFmtId="43" fontId="1" fillId="7" borderId="106" xfId="1" applyFont="1" applyFill="1" applyBorder="1" applyAlignment="1"/>
    <xf numFmtId="49" fontId="1" fillId="0" borderId="58" xfId="0" applyNumberFormat="1" applyFont="1" applyFill="1" applyBorder="1"/>
    <xf numFmtId="0" fontId="1" fillId="0" borderId="51" xfId="0" applyFont="1" applyFill="1" applyBorder="1" applyAlignment="1">
      <alignment horizontal="center"/>
    </xf>
    <xf numFmtId="0" fontId="1" fillId="0" borderId="51" xfId="0" applyFont="1" applyFill="1" applyBorder="1" applyAlignment="1">
      <alignment horizontal="center" vertical="center"/>
    </xf>
    <xf numFmtId="43" fontId="1" fillId="0" borderId="6" xfId="1" applyFont="1" applyFill="1" applyBorder="1" applyAlignment="1">
      <alignment horizontal="right"/>
    </xf>
    <xf numFmtId="43" fontId="1" fillId="0" borderId="13" xfId="1" applyFont="1" applyFill="1" applyBorder="1" applyAlignment="1">
      <alignment horizontal="right"/>
    </xf>
    <xf numFmtId="43" fontId="1" fillId="7" borderId="1" xfId="1" applyFont="1" applyFill="1" applyBorder="1" applyAlignment="1"/>
    <xf numFmtId="43" fontId="1" fillId="7" borderId="1" xfId="1" applyFont="1" applyFill="1" applyBorder="1" applyAlignment="1">
      <alignment horizontal="right"/>
    </xf>
    <xf numFmtId="43" fontId="1" fillId="7" borderId="0" xfId="1" applyFont="1" applyFill="1" applyBorder="1" applyAlignment="1">
      <alignment horizontal="right"/>
    </xf>
    <xf numFmtId="49" fontId="0" fillId="7" borderId="1" xfId="0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43" fontId="0" fillId="0" borderId="1" xfId="0" applyNumberFormat="1" applyBorder="1"/>
    <xf numFmtId="174" fontId="0" fillId="0" borderId="1" xfId="0" applyNumberFormat="1" applyBorder="1" applyAlignment="1">
      <alignment horizontal="right"/>
    </xf>
    <xf numFmtId="169" fontId="0" fillId="0" borderId="1" xfId="34" applyNumberFormat="1" applyFont="1" applyBorder="1"/>
    <xf numFmtId="49" fontId="0" fillId="7" borderId="2" xfId="0" applyNumberFormat="1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center" vertical="center"/>
    </xf>
    <xf numFmtId="43" fontId="1" fillId="7" borderId="2" xfId="1" applyFont="1" applyFill="1" applyBorder="1" applyAlignment="1"/>
    <xf numFmtId="43" fontId="1" fillId="7" borderId="2" xfId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vertical="center" wrapText="1"/>
    </xf>
    <xf numFmtId="43" fontId="1" fillId="2" borderId="1" xfId="1" applyFont="1" applyFill="1" applyBorder="1" applyAlignment="1"/>
    <xf numFmtId="43" fontId="1" fillId="2" borderId="1" xfId="1" applyFont="1" applyFill="1" applyBorder="1" applyAlignment="1">
      <alignment horizontal="right"/>
    </xf>
    <xf numFmtId="43" fontId="15" fillId="7" borderId="64" xfId="1" applyFont="1" applyFill="1" applyBorder="1" applyAlignment="1">
      <alignment horizontal="right" wrapText="1"/>
    </xf>
    <xf numFmtId="175" fontId="53" fillId="22" borderId="1" xfId="0" applyNumberFormat="1" applyFont="1" applyFill="1" applyBorder="1"/>
    <xf numFmtId="4" fontId="1" fillId="29" borderId="1" xfId="0" applyNumberFormat="1" applyFont="1" applyFill="1" applyBorder="1"/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1" fillId="7" borderId="107" xfId="0" applyNumberFormat="1" applyFont="1" applyFill="1" applyBorder="1"/>
    <xf numFmtId="0" fontId="3" fillId="7" borderId="75" xfId="0" applyFont="1" applyFill="1" applyBorder="1" applyAlignment="1">
      <alignment horizontal="left" vertical="center" wrapText="1"/>
    </xf>
    <xf numFmtId="0" fontId="1" fillId="7" borderId="75" xfId="0" applyFont="1" applyFill="1" applyBorder="1" applyAlignment="1">
      <alignment horizontal="center" vertical="center" wrapText="1"/>
    </xf>
    <xf numFmtId="4" fontId="3" fillId="7" borderId="75" xfId="0" applyNumberFormat="1" applyFont="1" applyFill="1" applyBorder="1" applyAlignment="1">
      <alignment horizontal="right" vertical="center" wrapText="1"/>
    </xf>
    <xf numFmtId="4" fontId="3" fillId="5" borderId="42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" fontId="1" fillId="5" borderId="33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/>
    <xf numFmtId="4" fontId="1" fillId="5" borderId="1" xfId="0" applyNumberFormat="1" applyFont="1" applyFill="1" applyBorder="1"/>
    <xf numFmtId="4" fontId="0" fillId="5" borderId="51" xfId="0" applyNumberFormat="1" applyFill="1" applyBorder="1"/>
    <xf numFmtId="4" fontId="1" fillId="5" borderId="2" xfId="0" applyNumberFormat="1" applyFont="1" applyFill="1" applyBorder="1"/>
    <xf numFmtId="49" fontId="1" fillId="7" borderId="107" xfId="0" applyNumberFormat="1" applyFont="1" applyFill="1" applyBorder="1" applyAlignment="1">
      <alignment vertical="center" wrapText="1"/>
    </xf>
    <xf numFmtId="0" fontId="3" fillId="7" borderId="75" xfId="0" applyFont="1" applyFill="1" applyBorder="1" applyAlignment="1">
      <alignment vertical="center" wrapText="1"/>
    </xf>
    <xf numFmtId="0" fontId="1" fillId="7" borderId="75" xfId="0" applyFont="1" applyFill="1" applyBorder="1" applyAlignment="1">
      <alignment horizontal="center" vertical="center"/>
    </xf>
    <xf numFmtId="4" fontId="1" fillId="7" borderId="75" xfId="0" applyNumberFormat="1" applyFont="1" applyFill="1" applyBorder="1"/>
    <xf numFmtId="4" fontId="1" fillId="5" borderId="75" xfId="0" applyNumberFormat="1" applyFont="1" applyFill="1" applyBorder="1"/>
    <xf numFmtId="4" fontId="1" fillId="5" borderId="103" xfId="0" applyNumberFormat="1" applyFont="1" applyFill="1" applyBorder="1"/>
    <xf numFmtId="4" fontId="1" fillId="7" borderId="108" xfId="0" applyNumberFormat="1" applyFont="1" applyFill="1" applyBorder="1"/>
    <xf numFmtId="0" fontId="3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/>
    </xf>
    <xf numFmtId="49" fontId="1" fillId="0" borderId="23" xfId="0" applyNumberFormat="1" applyFont="1" applyFill="1" applyBorder="1"/>
    <xf numFmtId="0" fontId="1" fillId="31" borderId="17" xfId="0" applyFont="1" applyFill="1" applyBorder="1" applyAlignment="1">
      <alignment horizontal="center"/>
    </xf>
    <xf numFmtId="4" fontId="1" fillId="5" borderId="18" xfId="0" applyNumberFormat="1" applyFont="1" applyFill="1" applyBorder="1"/>
    <xf numFmtId="4" fontId="1" fillId="0" borderId="50" xfId="0" applyNumberFormat="1" applyFont="1" applyFill="1" applyBorder="1"/>
    <xf numFmtId="0" fontId="0" fillId="0" borderId="14" xfId="0" applyFont="1" applyFill="1" applyBorder="1" applyAlignment="1">
      <alignment horizontal="center" vertical="center"/>
    </xf>
    <xf numFmtId="4" fontId="1" fillId="31" borderId="1" xfId="0" applyNumberFormat="1" applyFont="1" applyFill="1" applyBorder="1"/>
    <xf numFmtId="49" fontId="1" fillId="0" borderId="2" xfId="0" applyNumberFormat="1" applyFont="1" applyFill="1" applyBorder="1"/>
    <xf numFmtId="0" fontId="0" fillId="0" borderId="18" xfId="0" applyFont="1" applyFill="1" applyBorder="1" applyAlignment="1">
      <alignment horizontal="center" vertical="center"/>
    </xf>
    <xf numFmtId="0" fontId="79" fillId="7" borderId="14" xfId="0" applyFont="1" applyFill="1" applyBorder="1" applyAlignment="1">
      <alignment horizontal="center" vertical="center" wrapText="1"/>
    </xf>
    <xf numFmtId="4" fontId="1" fillId="0" borderId="22" xfId="0" applyNumberFormat="1" applyFont="1" applyFill="1" applyBorder="1"/>
    <xf numFmtId="4" fontId="1" fillId="0" borderId="20" xfId="0" applyNumberFormat="1" applyFont="1" applyFill="1" applyBorder="1"/>
    <xf numFmtId="4" fontId="1" fillId="0" borderId="12" xfId="0" applyNumberFormat="1" applyFont="1" applyFill="1" applyBorder="1"/>
    <xf numFmtId="167" fontId="0" fillId="2" borderId="1" xfId="0" applyNumberFormat="1" applyFill="1" applyBorder="1"/>
    <xf numFmtId="43" fontId="1" fillId="7" borderId="42" xfId="1" applyFont="1" applyFill="1" applyBorder="1" applyAlignment="1">
      <alignment horizontal="center" vertical="center" wrapText="1"/>
    </xf>
    <xf numFmtId="172" fontId="0" fillId="0" borderId="4" xfId="1" applyNumberFormat="1" applyFont="1" applyFill="1" applyBorder="1" applyAlignment="1">
      <alignment horizontal="right"/>
    </xf>
    <xf numFmtId="43" fontId="1" fillId="0" borderId="4" xfId="1" applyFont="1" applyFill="1" applyBorder="1" applyAlignment="1">
      <alignment horizontal="right"/>
    </xf>
    <xf numFmtId="43" fontId="1" fillId="0" borderId="12" xfId="1" applyFont="1" applyFill="1" applyBorder="1" applyAlignment="1">
      <alignment horizontal="right"/>
    </xf>
    <xf numFmtId="169" fontId="1" fillId="0" borderId="15" xfId="34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center" vertical="center"/>
    </xf>
    <xf numFmtId="4" fontId="1" fillId="2" borderId="14" xfId="0" applyNumberFormat="1" applyFont="1" applyFill="1" applyBorder="1" applyAlignment="1">
      <alignment horizontal="center" vertical="center"/>
    </xf>
    <xf numFmtId="4" fontId="1" fillId="5" borderId="14" xfId="0" applyNumberFormat="1" applyFont="1" applyFill="1" applyBorder="1" applyAlignment="1">
      <alignment horizontal="center" vertical="center"/>
    </xf>
    <xf numFmtId="4" fontId="1" fillId="2" borderId="22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43" fontId="2" fillId="0" borderId="1" xfId="0" applyNumberFormat="1" applyFont="1" applyBorder="1" applyAlignment="1">
      <alignment horizontal="right"/>
    </xf>
    <xf numFmtId="43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9" fontId="2" fillId="0" borderId="1" xfId="34" applyNumberFormat="1" applyFont="1" applyBorder="1"/>
    <xf numFmtId="174" fontId="2" fillId="0" borderId="1" xfId="0" applyNumberFormat="1" applyFont="1" applyBorder="1" applyAlignment="1">
      <alignment horizontal="right"/>
    </xf>
    <xf numFmtId="4" fontId="1" fillId="2" borderId="55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center"/>
    </xf>
    <xf numFmtId="43" fontId="37" fillId="0" borderId="1" xfId="4" applyFont="1" applyBorder="1" applyAlignment="1">
      <alignment horizontal="center" vertical="center"/>
    </xf>
    <xf numFmtId="4" fontId="34" fillId="0" borderId="3" xfId="3" applyNumberFormat="1" applyFont="1" applyBorder="1" applyAlignment="1">
      <alignment horizontal="right"/>
    </xf>
    <xf numFmtId="4" fontId="34" fillId="0" borderId="3" xfId="3" applyNumberFormat="1" applyFont="1" applyBorder="1" applyAlignment="1">
      <alignment horizontal="center"/>
    </xf>
    <xf numFmtId="0" fontId="39" fillId="0" borderId="68" xfId="3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7" fillId="0" borderId="89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10" fontId="37" fillId="0" borderId="1" xfId="0" applyNumberFormat="1" applyFont="1" applyBorder="1" applyAlignment="1">
      <alignment horizontal="center" vertical="center"/>
    </xf>
    <xf numFmtId="0" fontId="37" fillId="0" borderId="87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14" fontId="37" fillId="0" borderId="3" xfId="0" applyNumberFormat="1" applyFont="1" applyBorder="1" applyAlignment="1">
      <alignment horizontal="center" vertical="center" wrapText="1"/>
    </xf>
    <xf numFmtId="10" fontId="37" fillId="0" borderId="3" xfId="0" applyNumberFormat="1" applyFont="1" applyBorder="1" applyAlignment="1">
      <alignment horizontal="center" vertical="center"/>
    </xf>
    <xf numFmtId="4" fontId="37" fillId="0" borderId="3" xfId="0" applyNumberFormat="1" applyFont="1" applyBorder="1" applyAlignment="1">
      <alignment horizontal="center" vertical="center" wrapText="1"/>
    </xf>
    <xf numFmtId="4" fontId="37" fillId="0" borderId="1" xfId="0" applyNumberFormat="1" applyFont="1" applyBorder="1" applyAlignment="1">
      <alignment vertical="center" wrapText="1"/>
    </xf>
    <xf numFmtId="0" fontId="37" fillId="0" borderId="3" xfId="0" applyFont="1" applyBorder="1" applyAlignment="1">
      <alignment horizontal="center" vertical="center"/>
    </xf>
    <xf numFmtId="0" fontId="80" fillId="32" borderId="109" xfId="35" applyNumberFormat="1" applyFont="1" applyFill="1" applyBorder="1" applyAlignment="1">
      <alignment horizontal="left" vertical="top" wrapText="1"/>
    </xf>
    <xf numFmtId="1" fontId="80" fillId="32" borderId="110" xfId="35" applyNumberFormat="1" applyFont="1" applyFill="1" applyBorder="1" applyAlignment="1">
      <alignment horizontal="left" vertical="top" wrapText="1"/>
    </xf>
    <xf numFmtId="0" fontId="80" fillId="32" borderId="110" xfId="35" applyNumberFormat="1" applyFont="1" applyFill="1" applyBorder="1" applyAlignment="1">
      <alignment horizontal="right" vertical="top" wrapText="1"/>
    </xf>
    <xf numFmtId="4" fontId="80" fillId="32" borderId="110" xfId="35" applyNumberFormat="1" applyFont="1" applyFill="1" applyBorder="1" applyAlignment="1">
      <alignment horizontal="right" vertical="top" wrapText="1"/>
    </xf>
    <xf numFmtId="0" fontId="80" fillId="32" borderId="110" xfId="35" applyNumberFormat="1" applyFont="1" applyFill="1" applyBorder="1" applyAlignment="1">
      <alignment horizontal="left" vertical="top" wrapText="1" indent="1"/>
    </xf>
    <xf numFmtId="0" fontId="81" fillId="32" borderId="110" xfId="35" applyNumberFormat="1" applyFont="1" applyFill="1" applyBorder="1" applyAlignment="1">
      <alignment horizontal="left" vertical="top" wrapText="1" indent="2"/>
    </xf>
    <xf numFmtId="0" fontId="81" fillId="32" borderId="110" xfId="35" applyNumberFormat="1" applyFont="1" applyFill="1" applyBorder="1" applyAlignment="1">
      <alignment horizontal="right" vertical="top" wrapText="1"/>
    </xf>
    <xf numFmtId="4" fontId="81" fillId="32" borderId="110" xfId="35" applyNumberFormat="1" applyFont="1" applyFill="1" applyBorder="1" applyAlignment="1">
      <alignment horizontal="right" vertical="top" wrapText="1"/>
    </xf>
    <xf numFmtId="0" fontId="28" fillId="0" borderId="110" xfId="35" applyNumberFormat="1" applyFont="1" applyBorder="1" applyAlignment="1">
      <alignment horizontal="left" vertical="top" wrapText="1" indent="3"/>
    </xf>
    <xf numFmtId="0" fontId="28" fillId="0" borderId="110" xfId="35" applyNumberFormat="1" applyFont="1" applyBorder="1" applyAlignment="1">
      <alignment horizontal="right" vertical="top" wrapText="1"/>
    </xf>
    <xf numFmtId="4" fontId="28" fillId="0" borderId="110" xfId="35" applyNumberFormat="1" applyFont="1" applyBorder="1" applyAlignment="1">
      <alignment horizontal="right" vertical="top" wrapText="1"/>
    </xf>
    <xf numFmtId="0" fontId="82" fillId="32" borderId="109" xfId="35" applyNumberFormat="1" applyFont="1" applyFill="1" applyBorder="1" applyAlignment="1">
      <alignment horizontal="left" vertical="top"/>
    </xf>
    <xf numFmtId="0" fontId="82" fillId="32" borderId="109" xfId="35" applyNumberFormat="1" applyFont="1" applyFill="1" applyBorder="1" applyAlignment="1">
      <alignment horizontal="right" vertical="top" wrapText="1"/>
    </xf>
    <xf numFmtId="4" fontId="82" fillId="32" borderId="109" xfId="35" applyNumberFormat="1" applyFont="1" applyFill="1" applyBorder="1" applyAlignment="1">
      <alignment horizontal="right" vertical="top" wrapText="1"/>
    </xf>
    <xf numFmtId="4" fontId="34" fillId="0" borderId="1" xfId="3" applyNumberFormat="1" applyFont="1" applyBorder="1" applyAlignment="1">
      <alignment horizontal="center"/>
    </xf>
    <xf numFmtId="0" fontId="39" fillId="0" borderId="1" xfId="3" applyFont="1" applyBorder="1" applyAlignment="1">
      <alignment vertical="center" wrapText="1"/>
    </xf>
    <xf numFmtId="0" fontId="1" fillId="0" borderId="20" xfId="0" applyFont="1" applyBorder="1" applyAlignment="1">
      <alignment horizontal="center"/>
    </xf>
    <xf numFmtId="0" fontId="1" fillId="17" borderId="10" xfId="0" applyFont="1" applyFill="1" applyBorder="1" applyAlignment="1">
      <alignment horizontal="center" vertical="center" wrapText="1"/>
    </xf>
    <xf numFmtId="0" fontId="85" fillId="0" borderId="0" xfId="3" applyFont="1"/>
    <xf numFmtId="4" fontId="34" fillId="0" borderId="1" xfId="3" applyNumberFormat="1" applyFont="1" applyBorder="1" applyAlignment="1">
      <alignment horizontal="right" wrapText="1"/>
    </xf>
    <xf numFmtId="10" fontId="29" fillId="0" borderId="1" xfId="3" applyNumberFormat="1" applyBorder="1"/>
    <xf numFmtId="10" fontId="34" fillId="0" borderId="1" xfId="3" applyNumberFormat="1" applyFont="1" applyBorder="1" applyAlignment="1">
      <alignment horizontal="right"/>
    </xf>
    <xf numFmtId="0" fontId="29" fillId="0" borderId="67" xfId="3" applyBorder="1"/>
    <xf numFmtId="0" fontId="29" fillId="0" borderId="68" xfId="3" applyBorder="1"/>
    <xf numFmtId="10" fontId="29" fillId="0" borderId="68" xfId="3" applyNumberFormat="1" applyBorder="1"/>
    <xf numFmtId="0" fontId="29" fillId="0" borderId="89" xfId="3" applyBorder="1"/>
    <xf numFmtId="0" fontId="29" fillId="0" borderId="72" xfId="3" applyBorder="1"/>
    <xf numFmtId="0" fontId="29" fillId="0" borderId="52" xfId="3" applyBorder="1"/>
    <xf numFmtId="10" fontId="29" fillId="0" borderId="52" xfId="3" applyNumberFormat="1" applyBorder="1"/>
    <xf numFmtId="0" fontId="1" fillId="0" borderId="8" xfId="3" applyFont="1" applyBorder="1"/>
    <xf numFmtId="0" fontId="1" fillId="0" borderId="14" xfId="3" applyFont="1" applyBorder="1"/>
    <xf numFmtId="10" fontId="1" fillId="0" borderId="14" xfId="3" applyNumberFormat="1" applyFont="1" applyBorder="1"/>
    <xf numFmtId="10" fontId="1" fillId="0" borderId="9" xfId="3" applyNumberFormat="1" applyFont="1" applyBorder="1"/>
    <xf numFmtId="10" fontId="29" fillId="0" borderId="71" xfId="3" applyNumberFormat="1" applyBorder="1"/>
    <xf numFmtId="10" fontId="29" fillId="0" borderId="90" xfId="3" applyNumberFormat="1" applyBorder="1"/>
    <xf numFmtId="10" fontId="29" fillId="0" borderId="73" xfId="3" applyNumberFormat="1" applyBorder="1"/>
    <xf numFmtId="0" fontId="1" fillId="0" borderId="14" xfId="3" applyFont="1" applyBorder="1" applyAlignment="1">
      <alignment wrapText="1"/>
    </xf>
    <xf numFmtId="0" fontId="1" fillId="0" borderId="9" xfId="3" applyFont="1" applyBorder="1"/>
    <xf numFmtId="0" fontId="39" fillId="0" borderId="1" xfId="3" applyFont="1" applyBorder="1" applyAlignment="1">
      <alignment horizontal="left" vertical="center" wrapText="1"/>
    </xf>
    <xf numFmtId="0" fontId="39" fillId="0" borderId="87" xfId="3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8" fillId="0" borderId="18" xfId="3" applyFont="1" applyBorder="1" applyAlignment="1">
      <alignment wrapText="1"/>
    </xf>
    <xf numFmtId="4" fontId="34" fillId="0" borderId="1" xfId="3" applyNumberFormat="1" applyFont="1" applyBorder="1" applyAlignment="1"/>
    <xf numFmtId="0" fontId="38" fillId="0" borderId="17" xfId="3" applyFont="1" applyBorder="1"/>
    <xf numFmtId="0" fontId="38" fillId="0" borderId="18" xfId="3" applyFont="1" applyBorder="1"/>
    <xf numFmtId="0" fontId="39" fillId="0" borderId="3" xfId="3" applyFont="1" applyBorder="1" applyAlignment="1">
      <alignment horizontal="left" vertical="center" wrapText="1"/>
    </xf>
    <xf numFmtId="0" fontId="39" fillId="0" borderId="1" xfId="3" applyFont="1" applyBorder="1" applyAlignment="1">
      <alignment horizontal="center" vertical="center" wrapText="1"/>
    </xf>
    <xf numFmtId="4" fontId="34" fillId="0" borderId="1" xfId="3" applyNumberFormat="1" applyFont="1" applyBorder="1" applyAlignment="1">
      <alignment horizontal="center"/>
    </xf>
    <xf numFmtId="4" fontId="34" fillId="0" borderId="14" xfId="3" applyNumberFormat="1" applyFont="1" applyBorder="1" applyAlignment="1"/>
    <xf numFmtId="0" fontId="0" fillId="0" borderId="62" xfId="0" applyBorder="1"/>
    <xf numFmtId="0" fontId="1" fillId="2" borderId="62" xfId="0" applyFont="1" applyFill="1" applyBorder="1"/>
    <xf numFmtId="0" fontId="0" fillId="0" borderId="66" xfId="0" applyBorder="1"/>
    <xf numFmtId="0" fontId="0" fillId="0" borderId="61" xfId="0" applyBorder="1"/>
    <xf numFmtId="4" fontId="0" fillId="0" borderId="62" xfId="0" applyNumberFormat="1" applyBorder="1"/>
    <xf numFmtId="0" fontId="1" fillId="6" borderId="20" xfId="0" applyFont="1" applyFill="1" applyBorder="1"/>
    <xf numFmtId="4" fontId="0" fillId="0" borderId="66" xfId="0" applyNumberFormat="1" applyBorder="1"/>
    <xf numFmtId="0" fontId="0" fillId="0" borderId="62" xfId="0" applyFill="1" applyBorder="1"/>
    <xf numFmtId="4" fontId="0" fillId="0" borderId="62" xfId="0" applyNumberFormat="1" applyBorder="1" applyAlignment="1">
      <alignment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80" fillId="32" borderId="109" xfId="36" applyNumberFormat="1" applyFont="1" applyFill="1" applyBorder="1" applyAlignment="1">
      <alignment horizontal="left" vertical="top" wrapText="1"/>
    </xf>
    <xf numFmtId="0" fontId="80" fillId="32" borderId="109" xfId="36" applyNumberFormat="1" applyFont="1" applyFill="1" applyBorder="1" applyAlignment="1">
      <alignment horizontal="left" vertical="top" wrapText="1"/>
    </xf>
    <xf numFmtId="4" fontId="80" fillId="32" borderId="110" xfId="36" applyNumberFormat="1" applyFont="1" applyFill="1" applyBorder="1" applyAlignment="1">
      <alignment horizontal="right" vertical="top" wrapText="1"/>
    </xf>
    <xf numFmtId="0" fontId="80" fillId="32" borderId="110" xfId="36" applyNumberFormat="1" applyFont="1" applyFill="1" applyBorder="1" applyAlignment="1">
      <alignment horizontal="right" vertical="top" wrapText="1"/>
    </xf>
    <xf numFmtId="0" fontId="80" fillId="32" borderId="110" xfId="36" applyNumberFormat="1" applyFont="1" applyFill="1" applyBorder="1" applyAlignment="1">
      <alignment horizontal="left" vertical="top" wrapText="1" indent="1"/>
    </xf>
    <xf numFmtId="0" fontId="28" fillId="0" borderId="110" xfId="36" applyNumberFormat="1" applyFont="1" applyBorder="1" applyAlignment="1">
      <alignment horizontal="left" vertical="top" wrapText="1" indent="2"/>
    </xf>
    <xf numFmtId="0" fontId="28" fillId="0" borderId="110" xfId="36" applyNumberFormat="1" applyFont="1" applyBorder="1" applyAlignment="1">
      <alignment horizontal="right" vertical="top" wrapText="1"/>
    </xf>
    <xf numFmtId="4" fontId="28" fillId="0" borderId="110" xfId="36" applyNumberFormat="1" applyFont="1" applyBorder="1" applyAlignment="1">
      <alignment horizontal="right" vertical="top" wrapText="1"/>
    </xf>
    <xf numFmtId="0" fontId="80" fillId="32" borderId="110" xfId="36" applyNumberFormat="1" applyFont="1" applyFill="1" applyBorder="1" applyAlignment="1">
      <alignment horizontal="left" vertical="top" wrapText="1" indent="2"/>
    </xf>
    <xf numFmtId="0" fontId="28" fillId="0" borderId="110" xfId="36" applyNumberFormat="1" applyFont="1" applyBorder="1" applyAlignment="1">
      <alignment horizontal="left" vertical="top" wrapText="1" indent="3"/>
    </xf>
    <xf numFmtId="2" fontId="28" fillId="0" borderId="110" xfId="36" applyNumberFormat="1" applyFont="1" applyBorder="1" applyAlignment="1">
      <alignment horizontal="right" vertical="top" wrapText="1"/>
    </xf>
    <xf numFmtId="0" fontId="82" fillId="32" borderId="109" xfId="36" applyNumberFormat="1" applyFont="1" applyFill="1" applyBorder="1" applyAlignment="1">
      <alignment horizontal="left" vertical="top"/>
    </xf>
    <xf numFmtId="4" fontId="82" fillId="32" borderId="109" xfId="36" applyNumberFormat="1" applyFont="1" applyFill="1" applyBorder="1" applyAlignment="1">
      <alignment horizontal="right" vertical="top" wrapText="1"/>
    </xf>
    <xf numFmtId="0" fontId="82" fillId="32" borderId="109" xfId="36" applyNumberFormat="1" applyFont="1" applyFill="1" applyBorder="1" applyAlignment="1">
      <alignment horizontal="right" vertical="top" wrapText="1"/>
    </xf>
    <xf numFmtId="0" fontId="80" fillId="32" borderId="0" xfId="36" applyNumberFormat="1" applyFont="1" applyFill="1" applyBorder="1" applyAlignment="1">
      <alignment horizontal="left" vertical="top" wrapText="1"/>
    </xf>
    <xf numFmtId="4" fontId="80" fillId="32" borderId="0" xfId="36" applyNumberFormat="1" applyFont="1" applyFill="1" applyBorder="1" applyAlignment="1">
      <alignment horizontal="right" vertical="top" wrapText="1"/>
    </xf>
    <xf numFmtId="0" fontId="80" fillId="32" borderId="0" xfId="36" applyNumberFormat="1" applyFont="1" applyFill="1" applyBorder="1" applyAlignment="1">
      <alignment horizontal="right" vertical="top" wrapText="1"/>
    </xf>
    <xf numFmtId="0" fontId="28" fillId="0" borderId="0" xfId="36" applyNumberFormat="1" applyFont="1" applyBorder="1" applyAlignment="1">
      <alignment horizontal="left" vertical="top" wrapText="1" indent="2"/>
    </xf>
    <xf numFmtId="0" fontId="28" fillId="0" borderId="0" xfId="36" applyNumberFormat="1" applyFont="1" applyBorder="1" applyAlignment="1">
      <alignment horizontal="right" vertical="top" wrapText="1"/>
    </xf>
    <xf numFmtId="4" fontId="28" fillId="0" borderId="0" xfId="36" applyNumberFormat="1" applyFont="1" applyBorder="1" applyAlignment="1">
      <alignment horizontal="right" vertical="top" wrapText="1"/>
    </xf>
    <xf numFmtId="2" fontId="28" fillId="0" borderId="0" xfId="36" applyNumberFormat="1" applyFont="1" applyBorder="1" applyAlignment="1">
      <alignment horizontal="right" vertical="top" wrapText="1"/>
    </xf>
    <xf numFmtId="4" fontId="82" fillId="32" borderId="0" xfId="36" applyNumberFormat="1" applyFont="1" applyFill="1" applyBorder="1" applyAlignment="1">
      <alignment horizontal="right" vertical="top" wrapText="1"/>
    </xf>
    <xf numFmtId="0" fontId="82" fillId="32" borderId="0" xfId="36" applyNumberFormat="1" applyFont="1" applyFill="1" applyBorder="1" applyAlignment="1">
      <alignment horizontal="right" vertical="top" wrapText="1"/>
    </xf>
    <xf numFmtId="0" fontId="27" fillId="0" borderId="0" xfId="36"/>
    <xf numFmtId="0" fontId="80" fillId="32" borderId="110" xfId="36" applyNumberFormat="1" applyFont="1" applyFill="1" applyBorder="1" applyAlignment="1">
      <alignment horizontal="left" vertical="top" wrapText="1"/>
    </xf>
    <xf numFmtId="0" fontId="81" fillId="32" borderId="110" xfId="36" applyNumberFormat="1" applyFont="1" applyFill="1" applyBorder="1" applyAlignment="1">
      <alignment horizontal="left" vertical="top" wrapText="1" indent="1"/>
    </xf>
    <xf numFmtId="0" fontId="81" fillId="32" borderId="110" xfId="36" applyNumberFormat="1" applyFont="1" applyFill="1" applyBorder="1" applyAlignment="1">
      <alignment horizontal="right" vertical="top" wrapText="1"/>
    </xf>
    <xf numFmtId="4" fontId="81" fillId="32" borderId="110" xfId="36" applyNumberFormat="1" applyFont="1" applyFill="1" applyBorder="1" applyAlignment="1">
      <alignment horizontal="right" vertical="top" wrapText="1"/>
    </xf>
    <xf numFmtId="0" fontId="28" fillId="32" borderId="110" xfId="36" applyNumberFormat="1" applyFont="1" applyFill="1" applyBorder="1" applyAlignment="1">
      <alignment horizontal="left" vertical="top" wrapText="1" indent="2"/>
    </xf>
    <xf numFmtId="0" fontId="28" fillId="32" borderId="110" xfId="36" applyNumberFormat="1" applyFont="1" applyFill="1" applyBorder="1" applyAlignment="1">
      <alignment horizontal="right" vertical="top" wrapText="1"/>
    </xf>
    <xf numFmtId="4" fontId="28" fillId="32" borderId="110" xfId="36" applyNumberFormat="1" applyFont="1" applyFill="1" applyBorder="1" applyAlignment="1">
      <alignment horizontal="right" vertical="top" wrapText="1"/>
    </xf>
    <xf numFmtId="2" fontId="81" fillId="32" borderId="110" xfId="36" applyNumberFormat="1" applyFont="1" applyFill="1" applyBorder="1" applyAlignment="1">
      <alignment horizontal="right" vertical="top" wrapText="1"/>
    </xf>
    <xf numFmtId="2" fontId="28" fillId="32" borderId="110" xfId="36" applyNumberFormat="1" applyFont="1" applyFill="1" applyBorder="1" applyAlignment="1">
      <alignment horizontal="right" vertical="top" wrapText="1"/>
    </xf>
    <xf numFmtId="0" fontId="29" fillId="0" borderId="0" xfId="3" applyAlignment="1">
      <alignment horizontal="center"/>
    </xf>
    <xf numFmtId="0" fontId="81" fillId="32" borderId="1" xfId="36" applyNumberFormat="1" applyFont="1" applyFill="1" applyBorder="1" applyAlignment="1">
      <alignment horizontal="left" vertical="top" wrapText="1" indent="1"/>
    </xf>
    <xf numFmtId="4" fontId="81" fillId="32" borderId="1" xfId="36" applyNumberFormat="1" applyFont="1" applyFill="1" applyBorder="1" applyAlignment="1">
      <alignment horizontal="right" vertical="top" wrapText="1"/>
    </xf>
    <xf numFmtId="0" fontId="81" fillId="32" borderId="1" xfId="36" applyNumberFormat="1" applyFont="1" applyFill="1" applyBorder="1" applyAlignment="1">
      <alignment horizontal="right" vertical="top" wrapText="1"/>
    </xf>
    <xf numFmtId="0" fontId="27" fillId="0" borderId="0" xfId="36" applyAlignment="1">
      <alignment horizontal="center"/>
    </xf>
    <xf numFmtId="0" fontId="86" fillId="32" borderId="112" xfId="36" applyNumberFormat="1" applyFont="1" applyFill="1" applyBorder="1" applyAlignment="1">
      <alignment horizontal="left" vertical="top" wrapText="1"/>
    </xf>
    <xf numFmtId="0" fontId="38" fillId="0" borderId="1" xfId="3" applyFont="1" applyBorder="1" applyAlignment="1">
      <alignment wrapText="1"/>
    </xf>
    <xf numFmtId="0" fontId="87" fillId="0" borderId="1" xfId="3" applyFont="1" applyBorder="1" applyAlignment="1">
      <alignment wrapText="1"/>
    </xf>
    <xf numFmtId="4" fontId="78" fillId="0" borderId="1" xfId="3" applyNumberFormat="1" applyFont="1" applyBorder="1" applyAlignment="1"/>
    <xf numFmtId="4" fontId="78" fillId="0" borderId="1" xfId="3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4" fontId="34" fillId="0" borderId="1" xfId="3" applyNumberFormat="1" applyFont="1" applyBorder="1" applyAlignment="1"/>
    <xf numFmtId="0" fontId="38" fillId="0" borderId="67" xfId="3" applyFont="1" applyBorder="1"/>
    <xf numFmtId="0" fontId="38" fillId="0" borderId="68" xfId="3" applyFont="1" applyBorder="1"/>
    <xf numFmtId="0" fontId="38" fillId="0" borderId="68" xfId="3" applyFont="1" applyBorder="1" applyAlignment="1">
      <alignment wrapText="1"/>
    </xf>
    <xf numFmtId="0" fontId="38" fillId="0" borderId="71" xfId="3" applyFont="1" applyBorder="1" applyAlignment="1">
      <alignment wrapText="1"/>
    </xf>
    <xf numFmtId="0" fontId="38" fillId="0" borderId="89" xfId="3" applyFont="1" applyBorder="1" applyAlignment="1">
      <alignment wrapText="1"/>
    </xf>
    <xf numFmtId="4" fontId="34" fillId="0" borderId="90" xfId="3" applyNumberFormat="1" applyFont="1" applyBorder="1" applyAlignment="1">
      <alignment horizontal="center"/>
    </xf>
    <xf numFmtId="0" fontId="87" fillId="0" borderId="89" xfId="3" applyFont="1" applyBorder="1" applyAlignment="1">
      <alignment wrapText="1"/>
    </xf>
    <xf numFmtId="0" fontId="39" fillId="0" borderId="3" xfId="3" applyFont="1" applyBorder="1" applyAlignment="1">
      <alignment vertical="center" wrapText="1"/>
    </xf>
    <xf numFmtId="4" fontId="0" fillId="17" borderId="1" xfId="0" applyNumberFormat="1" applyFill="1" applyBorder="1" applyAlignment="1">
      <alignment horizontal="right" vertical="center" wrapText="1"/>
    </xf>
    <xf numFmtId="43" fontId="0" fillId="0" borderId="24" xfId="1" applyFont="1" applyBorder="1" applyAlignment="1">
      <alignment horizontal="right"/>
    </xf>
    <xf numFmtId="43" fontId="1" fillId="0" borderId="24" xfId="1" applyFont="1" applyBorder="1" applyAlignment="1">
      <alignment horizontal="right"/>
    </xf>
    <xf numFmtId="0" fontId="0" fillId="6" borderId="0" xfId="0" applyFill="1"/>
    <xf numFmtId="0" fontId="0" fillId="7" borderId="97" xfId="0" applyFill="1" applyBorder="1"/>
    <xf numFmtId="0" fontId="1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43" fontId="0" fillId="7" borderId="1" xfId="0" applyNumberFormat="1" applyFill="1" applyBorder="1"/>
    <xf numFmtId="0" fontId="1" fillId="0" borderId="20" xfId="0" applyFont="1" applyBorder="1" applyAlignment="1">
      <alignment horizontal="center"/>
    </xf>
    <xf numFmtId="0" fontId="1" fillId="17" borderId="10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43" fontId="1" fillId="0" borderId="2" xfId="1" applyFont="1" applyFill="1" applyBorder="1"/>
    <xf numFmtId="166" fontId="1" fillId="3" borderId="14" xfId="1" applyNumberFormat="1" applyFont="1" applyFill="1" applyBorder="1"/>
    <xf numFmtId="43" fontId="2" fillId="2" borderId="3" xfId="1" applyFont="1" applyFill="1" applyBorder="1" applyAlignment="1">
      <alignment horizontal="left" wrapText="1"/>
    </xf>
    <xf numFmtId="0" fontId="18" fillId="2" borderId="15" xfId="0" applyFont="1" applyFill="1" applyBorder="1" applyAlignment="1">
      <alignment vertical="center" wrapText="1"/>
    </xf>
    <xf numFmtId="0" fontId="38" fillId="4" borderId="1" xfId="0" applyFont="1" applyFill="1" applyBorder="1" applyAlignment="1">
      <alignment horizontal="center" wrapText="1"/>
    </xf>
    <xf numFmtId="0" fontId="1" fillId="17" borderId="20" xfId="0" applyFont="1" applyFill="1" applyBorder="1" applyAlignment="1">
      <alignment horizontal="center" vertical="center" wrapText="1"/>
    </xf>
    <xf numFmtId="0" fontId="0" fillId="6" borderId="0" xfId="0" applyFill="1" applyBorder="1"/>
    <xf numFmtId="4" fontId="1" fillId="2" borderId="1" xfId="0" applyNumberFormat="1" applyFont="1" applyFill="1" applyBorder="1" applyAlignment="1">
      <alignment horizontal="right"/>
    </xf>
    <xf numFmtId="0" fontId="0" fillId="6" borderId="0" xfId="0" applyFill="1" applyAlignment="1">
      <alignment horizontal="center"/>
    </xf>
    <xf numFmtId="0" fontId="1" fillId="6" borderId="29" xfId="0" applyFont="1" applyFill="1" applyBorder="1"/>
    <xf numFmtId="4" fontId="0" fillId="0" borderId="2" xfId="0" applyNumberFormat="1" applyFill="1" applyBorder="1"/>
    <xf numFmtId="0" fontId="0" fillId="0" borderId="2" xfId="0" applyBorder="1" applyAlignment="1">
      <alignment horizontal="center" wrapText="1"/>
    </xf>
    <xf numFmtId="10" fontId="1" fillId="0" borderId="2" xfId="0" applyNumberFormat="1" applyFont="1" applyFill="1" applyBorder="1"/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17" borderId="27" xfId="0" applyFont="1" applyFill="1" applyBorder="1" applyAlignment="1">
      <alignment horizontal="center" vertical="center" wrapText="1"/>
    </xf>
    <xf numFmtId="0" fontId="1" fillId="17" borderId="10" xfId="0" applyFont="1" applyFill="1" applyBorder="1" applyAlignment="1">
      <alignment horizontal="center" vertical="center" wrapText="1"/>
    </xf>
    <xf numFmtId="0" fontId="1" fillId="17" borderId="5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2" fillId="0" borderId="2" xfId="3" applyFont="1" applyBorder="1" applyAlignment="1">
      <alignment wrapText="1"/>
    </xf>
    <xf numFmtId="0" fontId="35" fillId="0" borderId="1" xfId="3" applyFont="1" applyBorder="1"/>
    <xf numFmtId="0" fontId="0" fillId="0" borderId="87" xfId="0" applyBorder="1"/>
    <xf numFmtId="0" fontId="0" fillId="0" borderId="8" xfId="0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1" fillId="2" borderId="87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87" xfId="0" applyNumberFormat="1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/>
    </xf>
    <xf numFmtId="4" fontId="1" fillId="7" borderId="22" xfId="0" applyNumberFormat="1" applyFont="1" applyFill="1" applyBorder="1"/>
    <xf numFmtId="4" fontId="0" fillId="0" borderId="21" xfId="0" applyNumberFormat="1" applyBorder="1"/>
    <xf numFmtId="4" fontId="0" fillId="4" borderId="22" xfId="0" applyNumberFormat="1" applyFill="1" applyBorder="1"/>
    <xf numFmtId="4" fontId="0" fillId="0" borderId="23" xfId="0" applyNumberFormat="1" applyBorder="1"/>
    <xf numFmtId="4" fontId="1" fillId="0" borderId="21" xfId="0" applyNumberFormat="1" applyFont="1" applyBorder="1"/>
    <xf numFmtId="4" fontId="0" fillId="14" borderId="22" xfId="0" applyNumberFormat="1" applyFill="1" applyBorder="1"/>
    <xf numFmtId="4" fontId="0" fillId="2" borderId="23" xfId="0" applyNumberFormat="1" applyFill="1" applyBorder="1"/>
    <xf numFmtId="4" fontId="1" fillId="0" borderId="21" xfId="0" applyNumberFormat="1" applyFont="1" applyFill="1" applyBorder="1"/>
    <xf numFmtId="4" fontId="1" fillId="7" borderId="10" xfId="0" applyNumberFormat="1" applyFont="1" applyFill="1" applyBorder="1"/>
    <xf numFmtId="4" fontId="1" fillId="4" borderId="22" xfId="0" applyNumberFormat="1" applyFont="1" applyFill="1" applyBorder="1"/>
    <xf numFmtId="4" fontId="1" fillId="0" borderId="26" xfId="0" applyNumberFormat="1" applyFont="1" applyFill="1" applyBorder="1"/>
    <xf numFmtId="0" fontId="0" fillId="0" borderId="27" xfId="0" applyBorder="1" applyAlignment="1">
      <alignment horizontal="center" vertical="center" wrapText="1"/>
    </xf>
    <xf numFmtId="0" fontId="0" fillId="14" borderId="32" xfId="0" applyFill="1" applyBorder="1"/>
    <xf numFmtId="0" fontId="0" fillId="14" borderId="90" xfId="0" applyFill="1" applyBorder="1"/>
    <xf numFmtId="0" fontId="0" fillId="2" borderId="32" xfId="0" applyFill="1" applyBorder="1"/>
    <xf numFmtId="4" fontId="0" fillId="0" borderId="89" xfId="0" applyNumberFormat="1" applyBorder="1"/>
    <xf numFmtId="4" fontId="0" fillId="0" borderId="32" xfId="0" applyNumberFormat="1" applyBorder="1"/>
    <xf numFmtId="4" fontId="1" fillId="7" borderId="9" xfId="0" applyNumberFormat="1" applyFont="1" applyFill="1" applyBorder="1"/>
    <xf numFmtId="4" fontId="0" fillId="4" borderId="8" xfId="0" applyNumberFormat="1" applyFill="1" applyBorder="1"/>
    <xf numFmtId="4" fontId="0" fillId="4" borderId="9" xfId="0" applyNumberFormat="1" applyFill="1" applyBorder="1"/>
    <xf numFmtId="4" fontId="0" fillId="0" borderId="87" xfId="0" applyNumberFormat="1" applyBorder="1"/>
    <xf numFmtId="4" fontId="0" fillId="0" borderId="88" xfId="0" applyNumberFormat="1" applyBorder="1"/>
    <xf numFmtId="4" fontId="0" fillId="0" borderId="91" xfId="0" applyNumberFormat="1" applyBorder="1"/>
    <xf numFmtId="169" fontId="1" fillId="0" borderId="85" xfId="34" applyNumberFormat="1" applyFont="1" applyBorder="1"/>
    <xf numFmtId="4" fontId="1" fillId="0" borderId="86" xfId="0" applyNumberFormat="1" applyFont="1" applyBorder="1"/>
    <xf numFmtId="4" fontId="0" fillId="14" borderId="8" xfId="0" applyNumberFormat="1" applyFill="1" applyBorder="1"/>
    <xf numFmtId="4" fontId="0" fillId="14" borderId="9" xfId="0" applyNumberFormat="1" applyFill="1" applyBorder="1"/>
    <xf numFmtId="4" fontId="0" fillId="2" borderId="87" xfId="0" applyNumberFormat="1" applyFill="1" applyBorder="1"/>
    <xf numFmtId="4" fontId="0" fillId="2" borderId="88" xfId="0" applyNumberFormat="1" applyFill="1" applyBorder="1"/>
    <xf numFmtId="4" fontId="1" fillId="7" borderId="93" xfId="0" applyNumberFormat="1" applyFont="1" applyFill="1" applyBorder="1"/>
    <xf numFmtId="4" fontId="1" fillId="0" borderId="85" xfId="0" applyNumberFormat="1" applyFont="1" applyFill="1" applyBorder="1"/>
    <xf numFmtId="4" fontId="1" fillId="4" borderId="8" xfId="0" applyNumberFormat="1" applyFont="1" applyFill="1" applyBorder="1"/>
    <xf numFmtId="4" fontId="1" fillId="4" borderId="9" xfId="0" applyNumberFormat="1" applyFont="1" applyFill="1" applyBorder="1"/>
    <xf numFmtId="169" fontId="1" fillId="0" borderId="17" xfId="34" applyNumberFormat="1" applyFont="1" applyFill="1" applyBorder="1"/>
    <xf numFmtId="4" fontId="0" fillId="6" borderId="3" xfId="0" applyNumberFormat="1" applyFill="1" applyBorder="1"/>
    <xf numFmtId="3" fontId="0" fillId="0" borderId="32" xfId="0" applyNumberFormat="1" applyBorder="1"/>
    <xf numFmtId="0" fontId="12" fillId="0" borderId="1" xfId="0" applyFont="1" applyBorder="1"/>
    <xf numFmtId="49" fontId="0" fillId="0" borderId="0" xfId="0" applyNumberFormat="1" applyFont="1" applyBorder="1"/>
    <xf numFmtId="0" fontId="0" fillId="0" borderId="15" xfId="0" applyBorder="1" applyAlignment="1">
      <alignment wrapText="1"/>
    </xf>
    <xf numFmtId="0" fontId="12" fillId="0" borderId="1" xfId="0" applyFont="1" applyBorder="1" applyAlignment="1">
      <alignment wrapText="1"/>
    </xf>
    <xf numFmtId="49" fontId="1" fillId="3" borderId="1" xfId="0" applyNumberFormat="1" applyFont="1" applyFill="1" applyBorder="1"/>
    <xf numFmtId="0" fontId="12" fillId="3" borderId="1" xfId="0" applyFont="1" applyFill="1" applyBorder="1"/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/>
    <xf numFmtId="4" fontId="1" fillId="3" borderId="24" xfId="0" applyNumberFormat="1" applyFont="1" applyFill="1" applyBorder="1"/>
    <xf numFmtId="4" fontId="1" fillId="3" borderId="89" xfId="0" applyNumberFormat="1" applyFont="1" applyFill="1" applyBorder="1"/>
    <xf numFmtId="4" fontId="1" fillId="3" borderId="90" xfId="0" applyNumberFormat="1" applyFont="1" applyFill="1" applyBorder="1"/>
    <xf numFmtId="0" fontId="0" fillId="0" borderId="3" xfId="0" applyBorder="1" applyAlignment="1">
      <alignment wrapText="1"/>
    </xf>
    <xf numFmtId="0" fontId="12" fillId="4" borderId="14" xfId="0" applyFont="1" applyFill="1" applyBorder="1"/>
    <xf numFmtId="49" fontId="1" fillId="4" borderId="8" xfId="0" applyNumberFormat="1" applyFont="1" applyFill="1" applyBorder="1"/>
    <xf numFmtId="49" fontId="12" fillId="17" borderId="3" xfId="0" applyNumberFormat="1" applyFont="1" applyFill="1" applyBorder="1"/>
    <xf numFmtId="0" fontId="0" fillId="17" borderId="3" xfId="0" applyFill="1" applyBorder="1" applyAlignment="1">
      <alignment horizontal="center"/>
    </xf>
    <xf numFmtId="4" fontId="0" fillId="17" borderId="23" xfId="0" applyNumberFormat="1" applyFill="1" applyBorder="1"/>
    <xf numFmtId="4" fontId="0" fillId="17" borderId="87" xfId="0" applyNumberFormat="1" applyFill="1" applyBorder="1"/>
    <xf numFmtId="4" fontId="0" fillId="17" borderId="88" xfId="0" applyNumberFormat="1" applyFill="1" applyBorder="1"/>
    <xf numFmtId="0" fontId="1" fillId="17" borderId="3" xfId="0" applyFont="1" applyFill="1" applyBorder="1" applyAlignment="1">
      <alignment wrapText="1"/>
    </xf>
    <xf numFmtId="4" fontId="1" fillId="2" borderId="3" xfId="0" applyNumberFormat="1" applyFont="1" applyFill="1" applyBorder="1"/>
    <xf numFmtId="49" fontId="1" fillId="0" borderId="8" xfId="0" applyNumberFormat="1" applyFont="1" applyBorder="1"/>
    <xf numFmtId="0" fontId="1" fillId="0" borderId="14" xfId="0" applyFont="1" applyBorder="1" applyAlignment="1">
      <alignment wrapText="1"/>
    </xf>
    <xf numFmtId="0" fontId="1" fillId="0" borderId="14" xfId="0" applyFont="1" applyBorder="1" applyAlignment="1">
      <alignment horizontal="center"/>
    </xf>
    <xf numFmtId="4" fontId="1" fillId="0" borderId="14" xfId="0" applyNumberFormat="1" applyFont="1" applyBorder="1"/>
    <xf numFmtId="4" fontId="1" fillId="17" borderId="14" xfId="0" applyNumberFormat="1" applyFont="1" applyFill="1" applyBorder="1"/>
    <xf numFmtId="4" fontId="1" fillId="0" borderId="22" xfId="0" applyNumberFormat="1" applyFont="1" applyBorder="1"/>
    <xf numFmtId="4" fontId="1" fillId="0" borderId="9" xfId="0" applyNumberFormat="1" applyFont="1" applyBorder="1"/>
    <xf numFmtId="0" fontId="0" fillId="4" borderId="1" xfId="0" applyFill="1" applyBorder="1" applyAlignment="1">
      <alignment horizontal="center"/>
    </xf>
    <xf numFmtId="0" fontId="12" fillId="4" borderId="1" xfId="0" applyFont="1" applyFill="1" applyBorder="1"/>
    <xf numFmtId="49" fontId="12" fillId="4" borderId="67" xfId="0" applyNumberFormat="1" applyFont="1" applyFill="1" applyBorder="1"/>
    <xf numFmtId="0" fontId="12" fillId="4" borderId="68" xfId="0" applyFont="1" applyFill="1" applyBorder="1" applyAlignment="1">
      <alignment wrapText="1"/>
    </xf>
    <xf numFmtId="0" fontId="1" fillId="4" borderId="68" xfId="0" applyFont="1" applyFill="1" applyBorder="1" applyAlignment="1">
      <alignment horizontal="center"/>
    </xf>
    <xf numFmtId="4" fontId="1" fillId="4" borderId="68" xfId="0" applyNumberFormat="1" applyFont="1" applyFill="1" applyBorder="1"/>
    <xf numFmtId="4" fontId="1" fillId="4" borderId="71" xfId="0" applyNumberFormat="1" applyFont="1" applyFill="1" applyBorder="1"/>
    <xf numFmtId="4" fontId="0" fillId="4" borderId="90" xfId="0" applyNumberFormat="1" applyFill="1" applyBorder="1"/>
    <xf numFmtId="49" fontId="12" fillId="17" borderId="87" xfId="0" applyNumberFormat="1" applyFont="1" applyFill="1" applyBorder="1"/>
    <xf numFmtId="49" fontId="0" fillId="0" borderId="89" xfId="0" applyNumberFormat="1" applyFont="1" applyBorder="1"/>
    <xf numFmtId="49" fontId="0" fillId="0" borderId="87" xfId="0" applyNumberFormat="1" applyFont="1" applyBorder="1"/>
    <xf numFmtId="49" fontId="0" fillId="0" borderId="91" xfId="0" applyNumberFormat="1" applyFont="1" applyBorder="1"/>
    <xf numFmtId="4" fontId="1" fillId="0" borderId="93" xfId="0" applyNumberFormat="1" applyFont="1" applyFill="1" applyBorder="1"/>
    <xf numFmtId="0" fontId="89" fillId="0" borderId="1" xfId="0" applyFont="1" applyBorder="1" applyAlignment="1">
      <alignment wrapText="1"/>
    </xf>
    <xf numFmtId="4" fontId="0" fillId="17" borderId="24" xfId="0" applyNumberFormat="1" applyFill="1" applyBorder="1"/>
    <xf numFmtId="0" fontId="80" fillId="32" borderId="109" xfId="37" applyNumberFormat="1" applyFont="1" applyFill="1" applyBorder="1" applyAlignment="1">
      <alignment horizontal="left" vertical="top" wrapText="1"/>
    </xf>
    <xf numFmtId="1" fontId="80" fillId="32" borderId="110" xfId="37" applyNumberFormat="1" applyFont="1" applyFill="1" applyBorder="1" applyAlignment="1">
      <alignment horizontal="left" vertical="top" wrapText="1"/>
    </xf>
    <xf numFmtId="0" fontId="80" fillId="32" borderId="110" xfId="37" applyNumberFormat="1" applyFont="1" applyFill="1" applyBorder="1" applyAlignment="1">
      <alignment horizontal="left" vertical="top" wrapText="1"/>
    </xf>
    <xf numFmtId="0" fontId="80" fillId="32" borderId="110" xfId="37" applyNumberFormat="1" applyFont="1" applyFill="1" applyBorder="1" applyAlignment="1">
      <alignment horizontal="right" vertical="top" wrapText="1"/>
    </xf>
    <xf numFmtId="0" fontId="28" fillId="0" borderId="110" xfId="37" applyNumberFormat="1" applyFont="1" applyBorder="1" applyAlignment="1">
      <alignment horizontal="left" vertical="top"/>
    </xf>
    <xf numFmtId="176" fontId="28" fillId="0" borderId="110" xfId="37" applyNumberFormat="1" applyFont="1" applyBorder="1" applyAlignment="1">
      <alignment horizontal="left" vertical="top" wrapText="1"/>
    </xf>
    <xf numFmtId="4" fontId="28" fillId="0" borderId="110" xfId="37" applyNumberFormat="1" applyFont="1" applyBorder="1" applyAlignment="1">
      <alignment horizontal="right" vertical="top" wrapText="1"/>
    </xf>
    <xf numFmtId="0" fontId="28" fillId="0" borderId="110" xfId="37" applyNumberFormat="1" applyFont="1" applyBorder="1" applyAlignment="1">
      <alignment horizontal="right" vertical="top" wrapText="1"/>
    </xf>
    <xf numFmtId="1" fontId="28" fillId="0" borderId="110" xfId="37" applyNumberFormat="1" applyFont="1" applyBorder="1" applyAlignment="1">
      <alignment horizontal="left" vertical="top" wrapText="1"/>
    </xf>
    <xf numFmtId="2" fontId="28" fillId="0" borderId="110" xfId="37" applyNumberFormat="1" applyFont="1" applyBorder="1" applyAlignment="1">
      <alignment horizontal="right" vertical="top" wrapText="1"/>
    </xf>
    <xf numFmtId="0" fontId="82" fillId="32" borderId="110" xfId="37" applyNumberFormat="1" applyFont="1" applyFill="1" applyBorder="1" applyAlignment="1">
      <alignment horizontal="left" vertical="top"/>
    </xf>
    <xf numFmtId="0" fontId="82" fillId="32" borderId="110" xfId="37" applyNumberFormat="1" applyFont="1" applyFill="1" applyBorder="1" applyAlignment="1">
      <alignment horizontal="left" vertical="top" wrapText="1"/>
    </xf>
    <xf numFmtId="4" fontId="82" fillId="32" borderId="110" xfId="37" applyNumberFormat="1" applyFont="1" applyFill="1" applyBorder="1" applyAlignment="1">
      <alignment horizontal="right" vertical="top" wrapText="1"/>
    </xf>
    <xf numFmtId="0" fontId="82" fillId="32" borderId="110" xfId="37" applyNumberFormat="1" applyFont="1" applyFill="1" applyBorder="1" applyAlignment="1">
      <alignment horizontal="right" vertical="top" wrapText="1"/>
    </xf>
    <xf numFmtId="0" fontId="84" fillId="0" borderId="0" xfId="37" applyNumberFormat="1" applyFont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" fillId="0" borderId="2" xfId="0" applyNumberFormat="1" applyFont="1" applyBorder="1"/>
    <xf numFmtId="0" fontId="1" fillId="13" borderId="24" xfId="0" applyFont="1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0" fillId="13" borderId="24" xfId="0" applyFill="1" applyBorder="1" applyAlignment="1">
      <alignment horizontal="center"/>
    </xf>
    <xf numFmtId="0" fontId="0" fillId="13" borderId="82" xfId="0" applyFill="1" applyBorder="1"/>
    <xf numFmtId="4" fontId="0" fillId="6" borderId="82" xfId="0" applyNumberFormat="1" applyFill="1" applyBorder="1"/>
    <xf numFmtId="4" fontId="0" fillId="13" borderId="82" xfId="0" applyNumberFormat="1" applyFill="1" applyBorder="1"/>
    <xf numFmtId="0" fontId="0" fillId="17" borderId="50" xfId="0" applyFill="1" applyBorder="1" applyAlignment="1">
      <alignment horizontal="center" vertical="center" wrapText="1"/>
    </xf>
    <xf numFmtId="0" fontId="1" fillId="13" borderId="89" xfId="0" applyFont="1" applyFill="1" applyBorder="1"/>
    <xf numFmtId="0" fontId="0" fillId="17" borderId="90" xfId="0" applyFill="1" applyBorder="1"/>
    <xf numFmtId="3" fontId="0" fillId="17" borderId="90" xfId="0" applyNumberFormat="1" applyFill="1" applyBorder="1"/>
    <xf numFmtId="4" fontId="0" fillId="17" borderId="90" xfId="0" applyNumberFormat="1" applyFill="1" applyBorder="1"/>
    <xf numFmtId="4" fontId="0" fillId="6" borderId="89" xfId="0" applyNumberFormat="1" applyFill="1" applyBorder="1"/>
    <xf numFmtId="4" fontId="0" fillId="17" borderId="92" xfId="0" applyNumberFormat="1" applyFill="1" applyBorder="1"/>
    <xf numFmtId="9" fontId="0" fillId="0" borderId="91" xfId="0" applyNumberFormat="1" applyBorder="1"/>
    <xf numFmtId="9" fontId="0" fillId="17" borderId="92" xfId="0" applyNumberFormat="1" applyFill="1" applyBorder="1"/>
    <xf numFmtId="3" fontId="0" fillId="0" borderId="91" xfId="0" applyNumberFormat="1" applyBorder="1"/>
    <xf numFmtId="3" fontId="0" fillId="17" borderId="92" xfId="0" applyNumberFormat="1" applyFill="1" applyBorder="1"/>
    <xf numFmtId="168" fontId="0" fillId="0" borderId="91" xfId="0" applyNumberFormat="1" applyBorder="1"/>
    <xf numFmtId="168" fontId="0" fillId="17" borderId="92" xfId="0" applyNumberFormat="1" applyFill="1" applyBorder="1"/>
    <xf numFmtId="4" fontId="1" fillId="0" borderId="89" xfId="0" applyNumberFormat="1" applyFont="1" applyFill="1" applyBorder="1"/>
    <xf numFmtId="4" fontId="1" fillId="17" borderId="90" xfId="0" applyNumberFormat="1" applyFont="1" applyFill="1" applyBorder="1"/>
    <xf numFmtId="4" fontId="0" fillId="0" borderId="89" xfId="0" applyNumberFormat="1" applyFill="1" applyBorder="1"/>
    <xf numFmtId="168" fontId="0" fillId="0" borderId="89" xfId="0" applyNumberFormat="1" applyFill="1" applyBorder="1"/>
    <xf numFmtId="168" fontId="0" fillId="17" borderId="90" xfId="0" applyNumberFormat="1" applyFill="1" applyBorder="1"/>
    <xf numFmtId="4" fontId="0" fillId="13" borderId="89" xfId="0" applyNumberFormat="1" applyFill="1" applyBorder="1"/>
    <xf numFmtId="3" fontId="0" fillId="17" borderId="91" xfId="0" applyNumberFormat="1" applyFill="1" applyBorder="1"/>
    <xf numFmtId="4" fontId="0" fillId="17" borderId="91" xfId="0" applyNumberFormat="1" applyFill="1" applyBorder="1"/>
    <xf numFmtId="9" fontId="0" fillId="17" borderId="91" xfId="0" applyNumberFormat="1" applyFill="1" applyBorder="1"/>
    <xf numFmtId="3" fontId="1" fillId="17" borderId="91" xfId="0" applyNumberFormat="1" applyFont="1" applyFill="1" applyBorder="1"/>
    <xf numFmtId="3" fontId="1" fillId="17" borderId="92" xfId="0" applyNumberFormat="1" applyFont="1" applyFill="1" applyBorder="1"/>
    <xf numFmtId="4" fontId="0" fillId="17" borderId="89" xfId="0" applyNumberFormat="1" applyFill="1" applyBorder="1"/>
    <xf numFmtId="3" fontId="0" fillId="0" borderId="84" xfId="0" applyNumberFormat="1" applyBorder="1"/>
    <xf numFmtId="168" fontId="0" fillId="0" borderId="84" xfId="0" applyNumberFormat="1" applyBorder="1"/>
    <xf numFmtId="4" fontId="0" fillId="0" borderId="82" xfId="0" applyNumberFormat="1" applyFill="1" applyBorder="1"/>
    <xf numFmtId="168" fontId="0" fillId="0" borderId="82" xfId="0" applyNumberFormat="1" applyFill="1" applyBorder="1"/>
    <xf numFmtId="3" fontId="0" fillId="0" borderId="82" xfId="0" applyNumberFormat="1" applyBorder="1"/>
    <xf numFmtId="3" fontId="1" fillId="0" borderId="84" xfId="0" applyNumberFormat="1" applyFont="1" applyBorder="1"/>
    <xf numFmtId="0" fontId="0" fillId="17" borderId="17" xfId="0" applyFill="1" applyBorder="1" applyAlignment="1">
      <alignment horizontal="center" vertical="center" wrapText="1"/>
    </xf>
    <xf numFmtId="0" fontId="0" fillId="13" borderId="89" xfId="0" applyFill="1" applyBorder="1"/>
    <xf numFmtId="0" fontId="0" fillId="13" borderId="90" xfId="0" applyFill="1" applyBorder="1"/>
    <xf numFmtId="3" fontId="0" fillId="17" borderId="89" xfId="0" applyNumberFormat="1" applyFill="1" applyBorder="1"/>
    <xf numFmtId="4" fontId="0" fillId="6" borderId="90" xfId="0" applyNumberFormat="1" applyFill="1" applyBorder="1"/>
    <xf numFmtId="168" fontId="0" fillId="17" borderId="91" xfId="0" applyNumberFormat="1" applyFill="1" applyBorder="1"/>
    <xf numFmtId="4" fontId="1" fillId="17" borderId="89" xfId="0" applyNumberFormat="1" applyFont="1" applyFill="1" applyBorder="1"/>
    <xf numFmtId="168" fontId="0" fillId="17" borderId="89" xfId="0" applyNumberFormat="1" applyFill="1" applyBorder="1"/>
    <xf numFmtId="4" fontId="0" fillId="13" borderId="90" xfId="0" applyNumberFormat="1" applyFill="1" applyBorder="1"/>
    <xf numFmtId="0" fontId="0" fillId="0" borderId="88" xfId="0" applyBorder="1" applyAlignment="1">
      <alignment horizontal="center"/>
    </xf>
    <xf numFmtId="3" fontId="0" fillId="0" borderId="90" xfId="0" applyNumberFormat="1" applyBorder="1"/>
    <xf numFmtId="167" fontId="0" fillId="6" borderId="90" xfId="0" applyNumberFormat="1" applyFill="1" applyBorder="1"/>
    <xf numFmtId="9" fontId="0" fillId="0" borderId="92" xfId="0" applyNumberFormat="1" applyBorder="1"/>
    <xf numFmtId="3" fontId="0" fillId="0" borderId="92" xfId="0" applyNumberFormat="1" applyBorder="1"/>
    <xf numFmtId="168" fontId="0" fillId="0" borderId="92" xfId="0" applyNumberFormat="1" applyBorder="1"/>
    <xf numFmtId="49" fontId="0" fillId="0" borderId="89" xfId="0" applyNumberFormat="1" applyFont="1" applyFill="1" applyBorder="1"/>
    <xf numFmtId="49" fontId="0" fillId="0" borderId="89" xfId="0" applyNumberFormat="1" applyFont="1" applyFill="1" applyBorder="1" applyAlignment="1">
      <alignment vertical="center" wrapText="1"/>
    </xf>
    <xf numFmtId="4" fontId="0" fillId="0" borderId="90" xfId="0" applyNumberFormat="1" applyFill="1" applyBorder="1"/>
    <xf numFmtId="49" fontId="1" fillId="0" borderId="89" xfId="0" applyNumberFormat="1" applyFont="1" applyFill="1" applyBorder="1"/>
    <xf numFmtId="168" fontId="0" fillId="0" borderId="90" xfId="0" applyNumberFormat="1" applyFill="1" applyBorder="1"/>
    <xf numFmtId="49" fontId="0" fillId="13" borderId="89" xfId="0" applyNumberFormat="1" applyFill="1" applyBorder="1"/>
    <xf numFmtId="3" fontId="1" fillId="0" borderId="92" xfId="0" applyNumberFormat="1" applyFont="1" applyBorder="1"/>
    <xf numFmtId="0" fontId="0" fillId="13" borderId="30" xfId="0" applyFill="1" applyBorder="1"/>
    <xf numFmtId="3" fontId="0" fillId="0" borderId="30" xfId="0" applyNumberFormat="1" applyBorder="1"/>
    <xf numFmtId="4" fontId="0" fillId="0" borderId="30" xfId="0" applyNumberFormat="1" applyBorder="1"/>
    <xf numFmtId="167" fontId="0" fillId="6" borderId="30" xfId="0" applyNumberFormat="1" applyFill="1" applyBorder="1"/>
    <xf numFmtId="4" fontId="0" fillId="0" borderId="65" xfId="0" applyNumberFormat="1" applyBorder="1"/>
    <xf numFmtId="9" fontId="0" fillId="0" borderId="65" xfId="0" applyNumberFormat="1" applyBorder="1"/>
    <xf numFmtId="3" fontId="0" fillId="0" borderId="65" xfId="0" applyNumberFormat="1" applyBorder="1"/>
    <xf numFmtId="168" fontId="0" fillId="0" borderId="65" xfId="0" applyNumberFormat="1" applyBorder="1"/>
    <xf numFmtId="4" fontId="1" fillId="0" borderId="30" xfId="0" applyNumberFormat="1" applyFont="1" applyFill="1" applyBorder="1"/>
    <xf numFmtId="4" fontId="0" fillId="0" borderId="30" xfId="0" applyNumberFormat="1" applyFill="1" applyBorder="1"/>
    <xf numFmtId="168" fontId="0" fillId="0" borderId="30" xfId="0" applyNumberFormat="1" applyFill="1" applyBorder="1"/>
    <xf numFmtId="4" fontId="0" fillId="13" borderId="30" xfId="0" applyNumberFormat="1" applyFill="1" applyBorder="1"/>
    <xf numFmtId="3" fontId="1" fillId="0" borderId="65" xfId="0" applyNumberFormat="1" applyFont="1" applyBorder="1"/>
    <xf numFmtId="0" fontId="0" fillId="0" borderId="19" xfId="0" applyBorder="1" applyAlignment="1">
      <alignment horizontal="center" vertical="center" wrapText="1"/>
    </xf>
    <xf numFmtId="0" fontId="0" fillId="0" borderId="81" xfId="0" applyBorder="1" applyAlignment="1">
      <alignment horizontal="center"/>
    </xf>
    <xf numFmtId="167" fontId="0" fillId="6" borderId="82" xfId="0" applyNumberFormat="1" applyFill="1" applyBorder="1"/>
    <xf numFmtId="9" fontId="0" fillId="0" borderId="84" xfId="0" applyNumberFormat="1" applyBorder="1"/>
    <xf numFmtId="49" fontId="1" fillId="4" borderId="89" xfId="0" applyNumberFormat="1" applyFont="1" applyFill="1" applyBorder="1"/>
    <xf numFmtId="0" fontId="1" fillId="4" borderId="1" xfId="0" applyFont="1" applyFill="1" applyBorder="1" applyAlignment="1">
      <alignment horizontal="center"/>
    </xf>
    <xf numFmtId="4" fontId="1" fillId="4" borderId="1" xfId="0" applyNumberFormat="1" applyFont="1" applyFill="1" applyBorder="1"/>
    <xf numFmtId="4" fontId="0" fillId="6" borderId="58" xfId="0" applyNumberFormat="1" applyFill="1" applyBorder="1"/>
    <xf numFmtId="0" fontId="0" fillId="2" borderId="3" xfId="0" applyFill="1" applyBorder="1" applyAlignment="1">
      <alignment wrapText="1"/>
    </xf>
    <xf numFmtId="43" fontId="0" fillId="0" borderId="24" xfId="0" applyNumberFormat="1" applyBorder="1"/>
    <xf numFmtId="0" fontId="1" fillId="6" borderId="20" xfId="0" applyFont="1" applyFill="1" applyBorder="1" applyAlignment="1">
      <alignment horizontal="center" vertical="center" wrapText="1"/>
    </xf>
    <xf numFmtId="0" fontId="39" fillId="0" borderId="2" xfId="3" applyFont="1" applyBorder="1" applyAlignment="1">
      <alignment vertical="center" wrapText="1"/>
    </xf>
    <xf numFmtId="4" fontId="1" fillId="21" borderId="1" xfId="0" applyNumberFormat="1" applyFont="1" applyFill="1" applyBorder="1"/>
    <xf numFmtId="4" fontId="0" fillId="17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9" fontId="0" fillId="0" borderId="91" xfId="0" applyNumberFormat="1" applyFill="1" applyBorder="1" applyAlignment="1">
      <alignment vertical="center" wrapText="1"/>
    </xf>
    <xf numFmtId="0" fontId="1" fillId="6" borderId="58" xfId="0" applyFont="1" applyFill="1" applyBorder="1"/>
    <xf numFmtId="0" fontId="1" fillId="6" borderId="51" xfId="0" applyFont="1" applyFill="1" applyBorder="1" applyAlignment="1">
      <alignment horizontal="center"/>
    </xf>
    <xf numFmtId="43" fontId="34" fillId="0" borderId="1" xfId="1" applyFont="1" applyBorder="1"/>
    <xf numFmtId="0" fontId="34" fillId="0" borderId="1" xfId="0" applyFont="1" applyBorder="1" applyAlignment="1">
      <alignment horizontal="left"/>
    </xf>
    <xf numFmtId="0" fontId="38" fillId="0" borderId="1" xfId="0" applyFont="1" applyBorder="1" applyAlignment="1">
      <alignment horizontal="center"/>
    </xf>
    <xf numFmtId="43" fontId="0" fillId="6" borderId="14" xfId="1" applyFont="1" applyFill="1" applyBorder="1" applyAlignment="1"/>
    <xf numFmtId="0" fontId="2" fillId="13" borderId="3" xfId="0" applyFont="1" applyFill="1" applyBorder="1" applyAlignment="1">
      <alignment horizontal="left" vertical="center" wrapText="1"/>
    </xf>
    <xf numFmtId="0" fontId="3" fillId="13" borderId="40" xfId="0" applyFont="1" applyFill="1" applyBorder="1" applyAlignment="1">
      <alignment horizontal="left" vertical="center" wrapText="1"/>
    </xf>
    <xf numFmtId="0" fontId="0" fillId="17" borderId="18" xfId="0" applyFill="1" applyBorder="1" applyAlignment="1">
      <alignment horizontal="right" vertical="center" wrapText="1"/>
    </xf>
    <xf numFmtId="0" fontId="3" fillId="6" borderId="40" xfId="0" applyFont="1" applyFill="1" applyBorder="1"/>
    <xf numFmtId="0" fontId="3" fillId="13" borderId="14" xfId="0" applyFont="1" applyFill="1" applyBorder="1" applyAlignment="1">
      <alignment vertical="center" wrapText="1"/>
    </xf>
    <xf numFmtId="0" fontId="1" fillId="16" borderId="51" xfId="0" applyFont="1" applyFill="1" applyBorder="1" applyAlignment="1">
      <alignment horizontal="center"/>
    </xf>
    <xf numFmtId="4" fontId="1" fillId="5" borderId="51" xfId="0" applyNumberFormat="1" applyFont="1" applyFill="1" applyBorder="1"/>
    <xf numFmtId="4" fontId="3" fillId="17" borderId="1" xfId="0" applyNumberFormat="1" applyFont="1" applyFill="1" applyBorder="1" applyAlignment="1">
      <alignment horizontal="right" vertical="center" wrapText="1"/>
    </xf>
    <xf numFmtId="4" fontId="3" fillId="17" borderId="42" xfId="0" applyNumberFormat="1" applyFont="1" applyFill="1" applyBorder="1" applyAlignment="1">
      <alignment horizontal="right" vertical="center" wrapText="1"/>
    </xf>
    <xf numFmtId="168" fontId="0" fillId="6" borderId="32" xfId="0" applyNumberFormat="1" applyFill="1" applyBorder="1" applyAlignment="1">
      <alignment vertical="center" wrapText="1"/>
    </xf>
    <xf numFmtId="168" fontId="0" fillId="6" borderId="1" xfId="0" applyNumberFormat="1" applyFill="1" applyBorder="1" applyAlignment="1">
      <alignment vertical="center" wrapText="1"/>
    </xf>
    <xf numFmtId="168" fontId="0" fillId="6" borderId="97" xfId="0" applyNumberFormat="1" applyFill="1" applyBorder="1" applyAlignment="1">
      <alignment vertical="center" wrapText="1"/>
    </xf>
    <xf numFmtId="168" fontId="0" fillId="0" borderId="81" xfId="0" applyNumberFormat="1" applyBorder="1" applyAlignment="1">
      <alignment vertical="center" wrapText="1"/>
    </xf>
    <xf numFmtId="168" fontId="0" fillId="0" borderId="82" xfId="0" applyNumberFormat="1" applyBorder="1" applyAlignment="1">
      <alignment vertical="center" wrapText="1"/>
    </xf>
    <xf numFmtId="168" fontId="0" fillId="0" borderId="82" xfId="0" applyNumberFormat="1" applyBorder="1"/>
    <xf numFmtId="168" fontId="0" fillId="0" borderId="114" xfId="0" applyNumberFormat="1" applyBorder="1"/>
    <xf numFmtId="168" fontId="0" fillId="0" borderId="67" xfId="0" applyNumberFormat="1" applyBorder="1" applyAlignment="1">
      <alignment vertical="center" wrapText="1"/>
    </xf>
    <xf numFmtId="168" fontId="0" fillId="0" borderId="71" xfId="0" applyNumberFormat="1" applyBorder="1" applyAlignment="1">
      <alignment vertical="center" wrapText="1"/>
    </xf>
    <xf numFmtId="0" fontId="1" fillId="0" borderId="0" xfId="3" applyFont="1"/>
    <xf numFmtId="43" fontId="0" fillId="17" borderId="14" xfId="1" applyFont="1" applyFill="1" applyBorder="1" applyAlignment="1"/>
    <xf numFmtId="0" fontId="38" fillId="0" borderId="1" xfId="0" applyFont="1" applyBorder="1" applyAlignment="1">
      <alignment horizontal="center" wrapText="1"/>
    </xf>
    <xf numFmtId="0" fontId="87" fillId="0" borderId="1" xfId="0" applyFont="1" applyBorder="1"/>
    <xf numFmtId="4" fontId="87" fillId="0" borderId="1" xfId="0" applyNumberFormat="1" applyFont="1" applyBorder="1"/>
    <xf numFmtId="49" fontId="0" fillId="7" borderId="3" xfId="0" applyNumberFormat="1" applyFont="1" applyFill="1" applyBorder="1" applyAlignment="1">
      <alignment vertical="center" wrapText="1"/>
    </xf>
    <xf numFmtId="0" fontId="2" fillId="7" borderId="3" xfId="0" applyFont="1" applyFill="1" applyBorder="1" applyAlignment="1">
      <alignment vertical="center" wrapText="1"/>
    </xf>
    <xf numFmtId="43" fontId="1" fillId="7" borderId="3" xfId="1" applyFont="1" applyFill="1" applyBorder="1" applyAlignment="1"/>
    <xf numFmtId="43" fontId="1" fillId="7" borderId="3" xfId="1" applyFont="1" applyFill="1" applyBorder="1" applyAlignment="1">
      <alignment horizontal="right"/>
    </xf>
    <xf numFmtId="43" fontId="1" fillId="2" borderId="9" xfId="1" applyFont="1" applyFill="1" applyBorder="1" applyAlignment="1">
      <alignment horizontal="right"/>
    </xf>
    <xf numFmtId="0" fontId="33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72" fillId="0" borderId="0" xfId="0" applyFont="1" applyAlignment="1">
      <alignment horizontal="right" vertical="center"/>
    </xf>
    <xf numFmtId="0" fontId="6" fillId="0" borderId="0" xfId="0" applyFont="1"/>
    <xf numFmtId="0" fontId="15" fillId="0" borderId="0" xfId="0" applyFont="1"/>
    <xf numFmtId="0" fontId="76" fillId="0" borderId="1" xfId="0" applyFont="1" applyFill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7" fillId="0" borderId="3" xfId="0" applyFont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justify" vertical="center"/>
    </xf>
    <xf numFmtId="0" fontId="47" fillId="2" borderId="1" xfId="0" applyFont="1" applyFill="1" applyBorder="1" applyAlignment="1">
      <alignment vertical="center" wrapText="1"/>
    </xf>
    <xf numFmtId="0" fontId="47" fillId="2" borderId="1" xfId="0" applyFont="1" applyFill="1" applyBorder="1" applyAlignment="1">
      <alignment horizontal="justify" vertical="center" wrapText="1"/>
    </xf>
    <xf numFmtId="0" fontId="93" fillId="2" borderId="1" xfId="0" applyFont="1" applyFill="1" applyBorder="1" applyAlignment="1">
      <alignment horizontal="justify" vertical="center"/>
    </xf>
    <xf numFmtId="0" fontId="93" fillId="2" borderId="1" xfId="0" applyFont="1" applyFill="1" applyBorder="1" applyAlignment="1">
      <alignment horizontal="justify" vertical="center" wrapText="1"/>
    </xf>
    <xf numFmtId="0" fontId="6" fillId="2" borderId="0" xfId="0" applyFont="1" applyFill="1"/>
    <xf numFmtId="16" fontId="40" fillId="0" borderId="1" xfId="0" applyNumberFormat="1" applyFont="1" applyBorder="1" applyAlignment="1">
      <alignment horizontal="justify" vertical="center"/>
    </xf>
    <xf numFmtId="14" fontId="40" fillId="0" borderId="1" xfId="0" applyNumberFormat="1" applyFont="1" applyBorder="1" applyAlignment="1">
      <alignment horizontal="justify" vertical="center"/>
    </xf>
    <xf numFmtId="167" fontId="74" fillId="0" borderId="1" xfId="0" applyNumberFormat="1" applyFont="1" applyBorder="1" applyAlignment="1">
      <alignment horizontal="center" wrapText="1"/>
    </xf>
    <xf numFmtId="167" fontId="94" fillId="0" borderId="1" xfId="0" applyNumberFormat="1" applyFont="1" applyBorder="1" applyAlignment="1">
      <alignment horizontal="center" wrapText="1"/>
    </xf>
    <xf numFmtId="167" fontId="75" fillId="0" borderId="1" xfId="0" applyNumberFormat="1" applyFont="1" applyBorder="1" applyAlignment="1">
      <alignment horizontal="center" wrapText="1"/>
    </xf>
    <xf numFmtId="0" fontId="32" fillId="0" borderId="1" xfId="0" applyFont="1" applyBorder="1" applyAlignment="1">
      <alignment horizontal="justify" vertical="center"/>
    </xf>
    <xf numFmtId="0" fontId="39" fillId="0" borderId="1" xfId="0" applyFont="1" applyBorder="1" applyAlignment="1">
      <alignment horizontal="left" vertical="center" wrapText="1" indent="2"/>
    </xf>
    <xf numFmtId="0" fontId="32" fillId="0" borderId="1" xfId="0" applyFont="1" applyFill="1" applyBorder="1" applyAlignment="1">
      <alignment horizontal="center" vertical="center"/>
    </xf>
    <xf numFmtId="0" fontId="53" fillId="0" borderId="0" xfId="0" applyFont="1"/>
    <xf numFmtId="0" fontId="40" fillId="0" borderId="2" xfId="0" applyFont="1" applyFill="1" applyBorder="1" applyAlignment="1">
      <alignment horizontal="center" vertical="center"/>
    </xf>
    <xf numFmtId="167" fontId="49" fillId="0" borderId="2" xfId="0" applyNumberFormat="1" applyFont="1" applyBorder="1" applyAlignment="1">
      <alignment horizontal="center" wrapText="1"/>
    </xf>
    <xf numFmtId="167" fontId="45" fillId="0" borderId="2" xfId="0" applyNumberFormat="1" applyFont="1" applyBorder="1" applyAlignment="1">
      <alignment horizontal="center" wrapText="1"/>
    </xf>
    <xf numFmtId="16" fontId="40" fillId="5" borderId="1" xfId="0" applyNumberFormat="1" applyFont="1" applyFill="1" applyBorder="1" applyAlignment="1">
      <alignment horizontal="justify" vertical="center"/>
    </xf>
    <xf numFmtId="0" fontId="95" fillId="5" borderId="1" xfId="0" applyFont="1" applyFill="1" applyBorder="1" applyAlignment="1">
      <alignment horizontal="left" vertical="center" wrapText="1" indent="1"/>
    </xf>
    <xf numFmtId="0" fontId="95" fillId="5" borderId="1" xfId="0" applyFont="1" applyFill="1" applyBorder="1" applyAlignment="1">
      <alignment horizontal="center" vertical="center"/>
    </xf>
    <xf numFmtId="167" fontId="55" fillId="5" borderId="1" xfId="0" applyNumberFormat="1" applyFont="1" applyFill="1" applyBorder="1" applyAlignment="1">
      <alignment horizontal="center" wrapText="1"/>
    </xf>
    <xf numFmtId="167" fontId="50" fillId="5" borderId="1" xfId="0" applyNumberFormat="1" applyFont="1" applyFill="1" applyBorder="1" applyAlignment="1">
      <alignment horizontal="center" wrapText="1"/>
    </xf>
    <xf numFmtId="167" fontId="96" fillId="0" borderId="1" xfId="0" applyNumberFormat="1" applyFont="1" applyBorder="1" applyAlignment="1">
      <alignment horizontal="center" wrapText="1"/>
    </xf>
    <xf numFmtId="167" fontId="55" fillId="0" borderId="1" xfId="0" applyNumberFormat="1" applyFont="1" applyBorder="1" applyAlignment="1">
      <alignment horizontal="center" wrapText="1"/>
    </xf>
    <xf numFmtId="0" fontId="47" fillId="24" borderId="1" xfId="0" applyFont="1" applyFill="1" applyBorder="1" applyAlignment="1">
      <alignment horizontal="justify" vertical="center"/>
    </xf>
    <xf numFmtId="0" fontId="47" fillId="24" borderId="1" xfId="0" applyFont="1" applyFill="1" applyBorder="1" applyAlignment="1">
      <alignment vertical="center" wrapText="1"/>
    </xf>
    <xf numFmtId="0" fontId="48" fillId="24" borderId="3" xfId="0" applyFont="1" applyFill="1" applyBorder="1" applyAlignment="1">
      <alignment vertical="center"/>
    </xf>
    <xf numFmtId="167" fontId="47" fillId="24" borderId="3" xfId="0" applyNumberFormat="1" applyFont="1" applyFill="1" applyBorder="1" applyAlignment="1">
      <alignment horizontal="center" vertical="center" wrapText="1"/>
    </xf>
    <xf numFmtId="0" fontId="47" fillId="24" borderId="3" xfId="0" applyFont="1" applyFill="1" applyBorder="1" applyAlignment="1">
      <alignment horizontal="center" vertical="center" wrapText="1"/>
    </xf>
    <xf numFmtId="0" fontId="56" fillId="24" borderId="3" xfId="0" applyFont="1" applyFill="1" applyBorder="1" applyAlignment="1">
      <alignment horizontal="center" vertical="center" wrapText="1"/>
    </xf>
    <xf numFmtId="0" fontId="6" fillId="24" borderId="0" xfId="0" applyFont="1" applyFill="1"/>
    <xf numFmtId="0" fontId="0" fillId="24" borderId="0" xfId="0" applyFill="1"/>
    <xf numFmtId="16" fontId="40" fillId="25" borderId="1" xfId="0" applyNumberFormat="1" applyFont="1" applyFill="1" applyBorder="1" applyAlignment="1">
      <alignment horizontal="justify" vertical="center"/>
    </xf>
    <xf numFmtId="0" fontId="40" fillId="25" borderId="1" xfId="0" applyFont="1" applyFill="1" applyBorder="1" applyAlignment="1">
      <alignment horizontal="left" vertical="center" wrapText="1" indent="1"/>
    </xf>
    <xf numFmtId="0" fontId="40" fillId="25" borderId="1" xfId="0" applyFont="1" applyFill="1" applyBorder="1" applyAlignment="1">
      <alignment horizontal="center" vertical="center"/>
    </xf>
    <xf numFmtId="167" fontId="40" fillId="25" borderId="1" xfId="0" applyNumberFormat="1" applyFont="1" applyFill="1" applyBorder="1" applyAlignment="1">
      <alignment horizontal="justify" vertical="center" wrapText="1"/>
    </xf>
    <xf numFmtId="0" fontId="40" fillId="25" borderId="1" xfId="0" applyFont="1" applyFill="1" applyBorder="1" applyAlignment="1">
      <alignment horizontal="justify" vertical="center" wrapText="1"/>
    </xf>
    <xf numFmtId="0" fontId="40" fillId="25" borderId="1" xfId="0" applyFont="1" applyFill="1" applyBorder="1" applyAlignment="1">
      <alignment horizontal="justify" vertical="center"/>
    </xf>
    <xf numFmtId="0" fontId="61" fillId="25" borderId="1" xfId="0" applyFont="1" applyFill="1" applyBorder="1" applyAlignment="1">
      <alignment horizontal="justify" vertical="center" wrapText="1"/>
    </xf>
    <xf numFmtId="0" fontId="61" fillId="25" borderId="1" xfId="0" applyFont="1" applyFill="1" applyBorder="1" applyAlignment="1">
      <alignment horizontal="justify" vertical="center"/>
    </xf>
    <xf numFmtId="0" fontId="6" fillId="25" borderId="0" xfId="0" applyFont="1" applyFill="1"/>
    <xf numFmtId="0" fontId="0" fillId="25" borderId="0" xfId="0" applyFill="1"/>
    <xf numFmtId="0" fontId="48" fillId="2" borderId="1" xfId="0" applyFont="1" applyFill="1" applyBorder="1" applyAlignment="1">
      <alignment vertical="center"/>
    </xf>
    <xf numFmtId="167" fontId="47" fillId="2" borderId="1" xfId="0" applyNumberFormat="1" applyFont="1" applyFill="1" applyBorder="1" applyAlignment="1">
      <alignment horizontal="justify" vertical="center" wrapText="1"/>
    </xf>
    <xf numFmtId="0" fontId="40" fillId="0" borderId="24" xfId="0" applyFont="1" applyFill="1" applyBorder="1" applyAlignment="1">
      <alignment horizontal="center" vertical="center"/>
    </xf>
    <xf numFmtId="167" fontId="97" fillId="0" borderId="1" xfId="0" applyNumberFormat="1" applyFont="1" applyBorder="1" applyAlignment="1">
      <alignment horizontal="center" wrapText="1"/>
    </xf>
    <xf numFmtId="14" fontId="57" fillId="0" borderId="1" xfId="0" applyNumberFormat="1" applyFont="1" applyBorder="1" applyAlignment="1">
      <alignment horizontal="justify" vertical="center"/>
    </xf>
    <xf numFmtId="0" fontId="42" fillId="0" borderId="1" xfId="0" applyFont="1" applyBorder="1" applyAlignment="1">
      <alignment horizontal="left" vertical="center" wrapText="1" indent="2"/>
    </xf>
    <xf numFmtId="0" fontId="57" fillId="0" borderId="1" xfId="0" applyFont="1" applyFill="1" applyBorder="1" applyAlignment="1">
      <alignment horizontal="center" vertical="center"/>
    </xf>
    <xf numFmtId="16" fontId="57" fillId="0" borderId="1" xfId="0" applyNumberFormat="1" applyFont="1" applyBorder="1" applyAlignment="1">
      <alignment horizontal="justify" vertical="center"/>
    </xf>
    <xf numFmtId="0" fontId="57" fillId="0" borderId="24" xfId="0" applyFont="1" applyFill="1" applyBorder="1" applyAlignment="1">
      <alignment horizontal="center" vertical="center"/>
    </xf>
    <xf numFmtId="16" fontId="42" fillId="5" borderId="1" xfId="0" applyNumberFormat="1" applyFont="1" applyFill="1" applyBorder="1" applyAlignment="1">
      <alignment horizontal="right" vertical="center"/>
    </xf>
    <xf numFmtId="0" fontId="42" fillId="5" borderId="1" xfId="0" applyFont="1" applyFill="1" applyBorder="1" applyAlignment="1">
      <alignment horizontal="right" vertical="center" wrapText="1" indent="1"/>
    </xf>
    <xf numFmtId="0" fontId="42" fillId="0" borderId="1" xfId="0" applyFont="1" applyFill="1" applyBorder="1" applyAlignment="1">
      <alignment horizontal="right" vertical="center"/>
    </xf>
    <xf numFmtId="169" fontId="42" fillId="5" borderId="1" xfId="34" applyNumberFormat="1" applyFont="1" applyFill="1" applyBorder="1" applyAlignment="1">
      <alignment horizontal="right" vertical="center" wrapText="1"/>
    </xf>
    <xf numFmtId="0" fontId="98" fillId="5" borderId="0" xfId="0" applyFont="1" applyFill="1" applyAlignment="1">
      <alignment horizontal="right" vertical="center"/>
    </xf>
    <xf numFmtId="0" fontId="2" fillId="5" borderId="0" xfId="0" applyFont="1" applyFill="1" applyAlignment="1">
      <alignment horizontal="right" vertical="center"/>
    </xf>
    <xf numFmtId="0" fontId="57" fillId="0" borderId="1" xfId="0" applyFont="1" applyBorder="1" applyAlignment="1">
      <alignment horizontal="justify" vertical="center"/>
    </xf>
    <xf numFmtId="0" fontId="56" fillId="24" borderId="1" xfId="0" applyFont="1" applyFill="1" applyBorder="1" applyAlignment="1">
      <alignment horizontal="justify" vertical="center"/>
    </xf>
    <xf numFmtId="0" fontId="56" fillId="24" borderId="1" xfId="0" applyFont="1" applyFill="1" applyBorder="1" applyAlignment="1">
      <alignment vertical="center" wrapText="1"/>
    </xf>
    <xf numFmtId="0" fontId="99" fillId="24" borderId="3" xfId="0" applyFont="1" applyFill="1" applyBorder="1" applyAlignment="1">
      <alignment vertical="center"/>
    </xf>
    <xf numFmtId="167" fontId="56" fillId="24" borderId="3" xfId="0" applyNumberFormat="1" applyFont="1" applyFill="1" applyBorder="1" applyAlignment="1">
      <alignment horizontal="center" vertical="center" wrapText="1"/>
    </xf>
    <xf numFmtId="16" fontId="57" fillId="26" borderId="1" xfId="0" applyNumberFormat="1" applyFont="1" applyFill="1" applyBorder="1" applyAlignment="1">
      <alignment horizontal="justify" vertical="center"/>
    </xf>
    <xf numFmtId="0" fontId="57" fillId="26" borderId="1" xfId="0" applyFont="1" applyFill="1" applyBorder="1" applyAlignment="1">
      <alignment horizontal="left" vertical="center" wrapText="1" indent="1"/>
    </xf>
    <xf numFmtId="0" fontId="57" fillId="26" borderId="1" xfId="0" applyFont="1" applyFill="1" applyBorder="1" applyAlignment="1">
      <alignment horizontal="center" vertical="center"/>
    </xf>
    <xf numFmtId="168" fontId="56" fillId="26" borderId="1" xfId="0" applyNumberFormat="1" applyFont="1" applyFill="1" applyBorder="1" applyAlignment="1">
      <alignment horizontal="center" vertical="center" wrapText="1"/>
    </xf>
    <xf numFmtId="0" fontId="56" fillId="26" borderId="1" xfId="0" applyFont="1" applyFill="1" applyBorder="1" applyAlignment="1">
      <alignment horizontal="center" vertical="center" wrapText="1"/>
    </xf>
    <xf numFmtId="0" fontId="6" fillId="26" borderId="0" xfId="0" applyFont="1" applyFill="1"/>
    <xf numFmtId="0" fontId="0" fillId="26" borderId="0" xfId="0" applyFill="1"/>
    <xf numFmtId="0" fontId="99" fillId="26" borderId="1" xfId="0" applyFont="1" applyFill="1" applyBorder="1" applyAlignment="1">
      <alignment vertical="center"/>
    </xf>
    <xf numFmtId="16" fontId="57" fillId="25" borderId="1" xfId="0" applyNumberFormat="1" applyFont="1" applyFill="1" applyBorder="1" applyAlignment="1">
      <alignment horizontal="justify" vertical="center"/>
    </xf>
    <xf numFmtId="0" fontId="57" fillId="25" borderId="1" xfId="0" applyFont="1" applyFill="1" applyBorder="1" applyAlignment="1">
      <alignment horizontal="left" vertical="center" wrapText="1" indent="1"/>
    </xf>
    <xf numFmtId="0" fontId="57" fillId="25" borderId="1" xfId="0" applyFont="1" applyFill="1" applyBorder="1" applyAlignment="1">
      <alignment horizontal="center" vertical="center"/>
    </xf>
    <xf numFmtId="168" fontId="57" fillId="25" borderId="1" xfId="0" applyNumberFormat="1" applyFont="1" applyFill="1" applyBorder="1" applyAlignment="1">
      <alignment horizontal="justify" vertical="center" wrapText="1"/>
    </xf>
    <xf numFmtId="0" fontId="57" fillId="25" borderId="1" xfId="0" applyFont="1" applyFill="1" applyBorder="1" applyAlignment="1">
      <alignment horizontal="justify" vertical="center" wrapText="1"/>
    </xf>
    <xf numFmtId="0" fontId="57" fillId="25" borderId="1" xfId="0" applyFont="1" applyFill="1" applyBorder="1" applyAlignment="1">
      <alignment horizontal="justify" vertical="center"/>
    </xf>
    <xf numFmtId="0" fontId="99" fillId="25" borderId="1" xfId="0" applyFont="1" applyFill="1" applyBorder="1" applyAlignment="1">
      <alignment vertical="center"/>
    </xf>
    <xf numFmtId="0" fontId="56" fillId="2" borderId="1" xfId="0" applyFont="1" applyFill="1" applyBorder="1" applyAlignment="1">
      <alignment horizontal="justify" vertical="center"/>
    </xf>
    <xf numFmtId="0" fontId="56" fillId="2" borderId="1" xfId="0" applyFont="1" applyFill="1" applyBorder="1" applyAlignment="1">
      <alignment vertical="center" wrapText="1"/>
    </xf>
    <xf numFmtId="0" fontId="99" fillId="2" borderId="1" xfId="0" applyFont="1" applyFill="1" applyBorder="1" applyAlignment="1">
      <alignment vertical="center"/>
    </xf>
    <xf numFmtId="168" fontId="56" fillId="2" borderId="1" xfId="0" applyNumberFormat="1" applyFont="1" applyFill="1" applyBorder="1" applyAlignment="1">
      <alignment horizontal="justify" vertical="center" wrapText="1"/>
    </xf>
    <xf numFmtId="0" fontId="56" fillId="2" borderId="1" xfId="0" applyFont="1" applyFill="1" applyBorder="1" applyAlignment="1">
      <alignment horizontal="justify" vertical="center" wrapText="1"/>
    </xf>
    <xf numFmtId="0" fontId="57" fillId="0" borderId="1" xfId="0" applyFont="1" applyBorder="1" applyAlignment="1">
      <alignment horizontal="left" vertical="center" wrapText="1" indent="2"/>
    </xf>
    <xf numFmtId="168" fontId="57" fillId="0" borderId="1" xfId="0" applyNumberFormat="1" applyFont="1" applyBorder="1" applyAlignment="1">
      <alignment horizontal="justify" vertical="center" wrapText="1"/>
    </xf>
    <xf numFmtId="0" fontId="57" fillId="0" borderId="1" xfId="0" applyFont="1" applyBorder="1" applyAlignment="1">
      <alignment horizontal="justify" vertical="center" wrapText="1"/>
    </xf>
    <xf numFmtId="0" fontId="57" fillId="0" borderId="1" xfId="0" applyFont="1" applyFill="1" applyBorder="1" applyAlignment="1">
      <alignment horizontal="justify" vertical="center" wrapText="1"/>
    </xf>
    <xf numFmtId="167" fontId="75" fillId="0" borderId="1" xfId="0" applyNumberFormat="1" applyFont="1" applyFill="1" applyBorder="1" applyAlignment="1">
      <alignment horizontal="center" wrapText="1"/>
    </xf>
    <xf numFmtId="0" fontId="57" fillId="0" borderId="1" xfId="0" applyFont="1" applyFill="1" applyBorder="1" applyAlignment="1">
      <alignment horizontal="justify" vertical="center"/>
    </xf>
    <xf numFmtId="168" fontId="45" fillId="0" borderId="1" xfId="0" applyNumberFormat="1" applyFont="1" applyBorder="1" applyAlignment="1">
      <alignment horizontal="center" wrapText="1"/>
    </xf>
    <xf numFmtId="0" fontId="45" fillId="2" borderId="1" xfId="0" applyFont="1" applyFill="1" applyBorder="1" applyAlignment="1">
      <alignment horizontal="justify" vertical="center"/>
    </xf>
    <xf numFmtId="0" fontId="45" fillId="2" borderId="1" xfId="0" applyFont="1" applyFill="1" applyBorder="1" applyAlignment="1">
      <alignment vertical="center" wrapText="1"/>
    </xf>
    <xf numFmtId="168" fontId="75" fillId="2" borderId="1" xfId="0" applyNumberFormat="1" applyFont="1" applyFill="1" applyBorder="1" applyAlignment="1">
      <alignment horizontal="center" vertical="center" wrapText="1"/>
    </xf>
    <xf numFmtId="167" fontId="75" fillId="2" borderId="1" xfId="0" applyNumberFormat="1" applyFont="1" applyFill="1" applyBorder="1" applyAlignment="1">
      <alignment horizontal="center" vertical="center" wrapText="1"/>
    </xf>
    <xf numFmtId="167" fontId="75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14" fontId="57" fillId="26" borderId="1" xfId="0" applyNumberFormat="1" applyFont="1" applyFill="1" applyBorder="1" applyAlignment="1">
      <alignment horizontal="justify" vertical="center"/>
    </xf>
    <xf numFmtId="0" fontId="57" fillId="26" borderId="1" xfId="0" applyFont="1" applyFill="1" applyBorder="1" applyAlignment="1">
      <alignment horizontal="left" vertical="center" wrapText="1" indent="2"/>
    </xf>
    <xf numFmtId="0" fontId="57" fillId="26" borderId="1" xfId="0" applyFont="1" applyFill="1" applyBorder="1" applyAlignment="1">
      <alignment horizontal="justify" vertical="center"/>
    </xf>
    <xf numFmtId="0" fontId="57" fillId="26" borderId="1" xfId="0" applyFont="1" applyFill="1" applyBorder="1" applyAlignment="1">
      <alignment vertical="center" wrapText="1"/>
    </xf>
    <xf numFmtId="14" fontId="57" fillId="25" borderId="1" xfId="0" applyNumberFormat="1" applyFont="1" applyFill="1" applyBorder="1" applyAlignment="1">
      <alignment horizontal="justify" vertical="center"/>
    </xf>
    <xf numFmtId="0" fontId="57" fillId="25" borderId="1" xfId="0" applyFont="1" applyFill="1" applyBorder="1" applyAlignment="1">
      <alignment horizontal="left" vertical="center" wrapText="1" indent="2"/>
    </xf>
    <xf numFmtId="0" fontId="57" fillId="25" borderId="1" xfId="0" applyFont="1" applyFill="1" applyBorder="1" applyAlignment="1">
      <alignment vertical="center" wrapText="1"/>
    </xf>
    <xf numFmtId="0" fontId="56" fillId="2" borderId="1" xfId="0" applyFont="1" applyFill="1" applyBorder="1" applyAlignment="1">
      <alignment horizontal="center" vertical="center"/>
    </xf>
    <xf numFmtId="167" fontId="56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" fillId="2" borderId="0" xfId="0" applyFont="1" applyFill="1"/>
    <xf numFmtId="0" fontId="45" fillId="0" borderId="1" xfId="0" applyFont="1" applyBorder="1" applyAlignment="1">
      <alignment horizontal="justify" vertical="center" wrapText="1"/>
    </xf>
    <xf numFmtId="0" fontId="45" fillId="0" borderId="1" xfId="0" applyFont="1" applyBorder="1" applyAlignment="1">
      <alignment horizontal="justify" vertical="center"/>
    </xf>
    <xf numFmtId="0" fontId="57" fillId="2" borderId="1" xfId="0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justify" vertical="center" wrapText="1"/>
    </xf>
    <xf numFmtId="0" fontId="57" fillId="2" borderId="1" xfId="0" applyFont="1" applyFill="1" applyBorder="1" applyAlignment="1">
      <alignment horizontal="justify" vertical="center"/>
    </xf>
    <xf numFmtId="10" fontId="57" fillId="2" borderId="1" xfId="34" applyNumberFormat="1" applyFont="1" applyFill="1" applyBorder="1" applyAlignment="1">
      <alignment horizontal="center" vertical="center"/>
    </xf>
    <xf numFmtId="0" fontId="6" fillId="0" borderId="0" xfId="0" applyFont="1" applyBorder="1"/>
    <xf numFmtId="164" fontId="6" fillId="0" borderId="0" xfId="0" applyNumberFormat="1" applyFont="1"/>
    <xf numFmtId="167" fontId="6" fillId="0" borderId="0" xfId="0" applyNumberFormat="1" applyFont="1"/>
    <xf numFmtId="165" fontId="6" fillId="0" borderId="0" xfId="0" applyNumberFormat="1" applyFont="1"/>
    <xf numFmtId="0" fontId="100" fillId="0" borderId="0" xfId="0" applyFont="1" applyAlignment="1"/>
    <xf numFmtId="4" fontId="0" fillId="0" borderId="0" xfId="0" applyNumberFormat="1" applyFill="1"/>
    <xf numFmtId="10" fontId="17" fillId="0" borderId="0" xfId="0" applyNumberFormat="1" applyFont="1" applyBorder="1"/>
    <xf numFmtId="2" fontId="0" fillId="0" borderId="0" xfId="0" applyNumberFormat="1" applyBorder="1"/>
    <xf numFmtId="4" fontId="1" fillId="0" borderId="78" xfId="0" applyNumberFormat="1" applyFont="1" applyFill="1" applyBorder="1"/>
    <xf numFmtId="167" fontId="1" fillId="5" borderId="6" xfId="0" applyNumberFormat="1" applyFont="1" applyFill="1" applyBorder="1"/>
    <xf numFmtId="4" fontId="1" fillId="0" borderId="13" xfId="0" applyNumberFormat="1" applyFont="1" applyFill="1" applyBorder="1"/>
    <xf numFmtId="4" fontId="1" fillId="0" borderId="6" xfId="0" applyNumberFormat="1" applyFont="1" applyFill="1" applyBorder="1"/>
    <xf numFmtId="0" fontId="1" fillId="0" borderId="51" xfId="0" applyFont="1" applyBorder="1"/>
    <xf numFmtId="0" fontId="0" fillId="0" borderId="51" xfId="0" applyBorder="1"/>
    <xf numFmtId="4" fontId="0" fillId="0" borderId="51" xfId="0" applyNumberFormat="1" applyBorder="1"/>
    <xf numFmtId="4" fontId="0" fillId="0" borderId="93" xfId="0" applyNumberFormat="1" applyBorder="1"/>
    <xf numFmtId="0" fontId="1" fillId="0" borderId="14" xfId="0" applyFont="1" applyFill="1" applyBorder="1" applyAlignment="1">
      <alignment horizontal="left"/>
    </xf>
    <xf numFmtId="4" fontId="0" fillId="0" borderId="14" xfId="0" applyNumberFormat="1" applyFill="1" applyBorder="1"/>
    <xf numFmtId="4" fontId="0" fillId="0" borderId="22" xfId="0" applyNumberFormat="1" applyFill="1" applyBorder="1"/>
    <xf numFmtId="4" fontId="0" fillId="0" borderId="4" xfId="0" applyNumberFormat="1" applyFill="1" applyBorder="1"/>
    <xf numFmtId="167" fontId="0" fillId="5" borderId="20" xfId="0" applyNumberFormat="1" applyFill="1" applyBorder="1"/>
    <xf numFmtId="4" fontId="0" fillId="0" borderId="20" xfId="0" applyNumberFormat="1" applyFill="1" applyBorder="1"/>
    <xf numFmtId="4" fontId="0" fillId="0" borderId="12" xfId="0" applyNumberFormat="1" applyFill="1" applyBorder="1"/>
    <xf numFmtId="0" fontId="0" fillId="0" borderId="58" xfId="0" applyBorder="1"/>
    <xf numFmtId="167" fontId="0" fillId="5" borderId="14" xfId="0" applyNumberFormat="1" applyFill="1" applyBorder="1"/>
    <xf numFmtId="4" fontId="0" fillId="0" borderId="9" xfId="0" applyNumberFormat="1" applyFill="1" applyBorder="1"/>
    <xf numFmtId="0" fontId="1" fillId="0" borderId="0" xfId="0" applyFont="1" applyAlignment="1">
      <alignment horizontal="center"/>
    </xf>
    <xf numFmtId="4" fontId="34" fillId="0" borderId="2" xfId="3" applyNumberFormat="1" applyFont="1" applyBorder="1" applyAlignment="1"/>
    <xf numFmtId="4" fontId="34" fillId="0" borderId="15" xfId="3" applyNumberFormat="1" applyFont="1" applyBorder="1" applyAlignment="1"/>
    <xf numFmtId="0" fontId="80" fillId="32" borderId="109" xfId="35" applyNumberFormat="1" applyFont="1" applyFill="1" applyBorder="1" applyAlignment="1">
      <alignment horizontal="left" vertical="top" wrapText="1"/>
    </xf>
    <xf numFmtId="4" fontId="34" fillId="0" borderId="1" xfId="3" applyNumberFormat="1" applyFont="1" applyBorder="1" applyAlignment="1">
      <alignment horizontal="center"/>
    </xf>
    <xf numFmtId="4" fontId="34" fillId="0" borderId="1" xfId="3" applyNumberFormat="1" applyFont="1" applyBorder="1" applyAlignment="1"/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0" fillId="6" borderId="0" xfId="3" applyFont="1" applyFill="1" applyAlignment="1">
      <alignment vertical="center"/>
    </xf>
    <xf numFmtId="0" fontId="29" fillId="6" borderId="0" xfId="3" applyFill="1"/>
    <xf numFmtId="43" fontId="29" fillId="6" borderId="0" xfId="3" applyNumberFormat="1" applyFill="1"/>
    <xf numFmtId="0" fontId="29" fillId="16" borderId="0" xfId="3" applyFill="1"/>
    <xf numFmtId="0" fontId="0" fillId="16" borderId="0" xfId="3" applyFont="1" applyFill="1" applyAlignment="1">
      <alignment vertical="center"/>
    </xf>
    <xf numFmtId="0" fontId="27" fillId="0" borderId="0" xfId="35"/>
    <xf numFmtId="0" fontId="38" fillId="16" borderId="18" xfId="3" applyFont="1" applyFill="1" applyBorder="1" applyAlignment="1">
      <alignment wrapText="1"/>
    </xf>
    <xf numFmtId="14" fontId="37" fillId="17" borderId="0" xfId="0" applyNumberFormat="1" applyFont="1" applyFill="1" applyBorder="1" applyAlignment="1">
      <alignment horizontal="center" vertical="center" wrapText="1"/>
    </xf>
    <xf numFmtId="0" fontId="37" fillId="17" borderId="0" xfId="0" applyFont="1" applyFill="1" applyBorder="1" applyAlignment="1">
      <alignment horizontal="center" vertical="center" wrapText="1"/>
    </xf>
    <xf numFmtId="0" fontId="29" fillId="0" borderId="0" xfId="3" applyBorder="1"/>
    <xf numFmtId="4" fontId="34" fillId="0" borderId="15" xfId="3" applyNumberFormat="1" applyFont="1" applyBorder="1" applyAlignment="1">
      <alignment horizontal="right"/>
    </xf>
    <xf numFmtId="4" fontId="34" fillId="0" borderId="0" xfId="3" applyNumberFormat="1" applyFont="1" applyBorder="1" applyAlignment="1"/>
    <xf numFmtId="0" fontId="37" fillId="16" borderId="24" xfId="0" applyFont="1" applyFill="1" applyBorder="1" applyAlignment="1">
      <alignment horizontal="center" vertical="center" wrapText="1"/>
    </xf>
    <xf numFmtId="0" fontId="37" fillId="16" borderId="89" xfId="0" applyFont="1" applyFill="1" applyBorder="1" applyAlignment="1">
      <alignment horizontal="center" vertical="center" wrapText="1"/>
    </xf>
    <xf numFmtId="14" fontId="37" fillId="16" borderId="1" xfId="0" applyNumberFormat="1" applyFont="1" applyFill="1" applyBorder="1" applyAlignment="1">
      <alignment horizontal="center" vertical="center" wrapText="1"/>
    </xf>
    <xf numFmtId="43" fontId="37" fillId="16" borderId="1" xfId="4" applyFont="1" applyFill="1" applyBorder="1" applyAlignment="1">
      <alignment horizontal="center" vertical="center"/>
    </xf>
    <xf numFmtId="0" fontId="37" fillId="16" borderId="1" xfId="0" applyFont="1" applyFill="1" applyBorder="1" applyAlignment="1">
      <alignment horizontal="center" vertical="center"/>
    </xf>
    <xf numFmtId="10" fontId="37" fillId="16" borderId="1" xfId="0" applyNumberFormat="1" applyFont="1" applyFill="1" applyBorder="1" applyAlignment="1">
      <alignment horizontal="center" vertical="center"/>
    </xf>
    <xf numFmtId="0" fontId="34" fillId="0" borderId="10" xfId="3" applyFont="1" applyBorder="1"/>
    <xf numFmtId="0" fontId="37" fillId="16" borderId="91" xfId="0" applyFont="1" applyFill="1" applyBorder="1" applyAlignment="1">
      <alignment horizontal="center" vertical="center" wrapText="1"/>
    </xf>
    <xf numFmtId="4" fontId="34" fillId="0" borderId="2" xfId="3" applyNumberFormat="1" applyFont="1" applyBorder="1" applyAlignment="1">
      <alignment horizontal="right"/>
    </xf>
    <xf numFmtId="0" fontId="29" fillId="0" borderId="24" xfId="3" applyBorder="1"/>
    <xf numFmtId="0" fontId="29" fillId="0" borderId="3" xfId="3" applyBorder="1"/>
    <xf numFmtId="0" fontId="38" fillId="0" borderId="8" xfId="3" applyFont="1" applyBorder="1"/>
    <xf numFmtId="0" fontId="38" fillId="0" borderId="14" xfId="3" applyFont="1" applyBorder="1"/>
    <xf numFmtId="4" fontId="38" fillId="0" borderId="14" xfId="3" applyNumberFormat="1" applyFont="1" applyBorder="1" applyAlignment="1">
      <alignment horizontal="right"/>
    </xf>
    <xf numFmtId="4" fontId="38" fillId="0" borderId="14" xfId="3" applyNumberFormat="1" applyFont="1" applyBorder="1" applyAlignment="1"/>
    <xf numFmtId="4" fontId="38" fillId="0" borderId="22" xfId="3" applyNumberFormat="1" applyFont="1" applyBorder="1" applyAlignment="1">
      <alignment horizontal="right"/>
    </xf>
    <xf numFmtId="4" fontId="101" fillId="0" borderId="14" xfId="3" applyNumberFormat="1" applyFont="1" applyBorder="1"/>
    <xf numFmtId="4" fontId="34" fillId="0" borderId="1" xfId="3" applyNumberFormat="1" applyFont="1" applyBorder="1" applyAlignment="1">
      <alignment horizontal="center"/>
    </xf>
    <xf numFmtId="0" fontId="0" fillId="2" borderId="23" xfId="0" applyFill="1" applyBorder="1" applyAlignment="1">
      <alignment wrapText="1"/>
    </xf>
    <xf numFmtId="4" fontId="1" fillId="3" borderId="14" xfId="1" applyNumberFormat="1" applyFont="1" applyFill="1" applyBorder="1" applyAlignment="1">
      <alignment horizontal="center"/>
    </xf>
    <xf numFmtId="49" fontId="0" fillId="0" borderId="15" xfId="0" applyNumberFormat="1" applyBorder="1" applyAlignment="1">
      <alignment horizontal="left" vertical="center" wrapText="1"/>
    </xf>
    <xf numFmtId="4" fontId="1" fillId="6" borderId="51" xfId="0" applyNumberFormat="1" applyFont="1" applyFill="1" applyBorder="1" applyAlignment="1">
      <alignment horizontal="center"/>
    </xf>
    <xf numFmtId="4" fontId="1" fillId="6" borderId="93" xfId="0" applyNumberFormat="1" applyFont="1" applyFill="1" applyBorder="1"/>
    <xf numFmtId="4" fontId="28" fillId="0" borderId="1" xfId="2" applyNumberFormat="1" applyFont="1" applyBorder="1" applyAlignment="1">
      <alignment horizontal="right" vertical="top" wrapText="1"/>
    </xf>
    <xf numFmtId="0" fontId="0" fillId="6" borderId="58" xfId="0" applyFill="1" applyBorder="1"/>
    <xf numFmtId="0" fontId="0" fillId="0" borderId="26" xfId="0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49" fontId="1" fillId="6" borderId="58" xfId="0" applyNumberFormat="1" applyFont="1" applyFill="1" applyBorder="1"/>
    <xf numFmtId="43" fontId="1" fillId="6" borderId="51" xfId="1" applyFont="1" applyFill="1" applyBorder="1"/>
    <xf numFmtId="49" fontId="0" fillId="2" borderId="1" xfId="0" applyNumberFormat="1" applyFill="1" applyBorder="1"/>
    <xf numFmtId="0" fontId="18" fillId="2" borderId="1" xfId="0" applyFont="1" applyFill="1" applyBorder="1" applyAlignment="1">
      <alignment vertical="center" wrapText="1"/>
    </xf>
    <xf numFmtId="43" fontId="0" fillId="2" borderId="1" xfId="1" applyFont="1" applyFill="1" applyBorder="1"/>
    <xf numFmtId="49" fontId="1" fillId="2" borderId="58" xfId="0" applyNumberFormat="1" applyFont="1" applyFill="1" applyBorder="1"/>
    <xf numFmtId="0" fontId="1" fillId="2" borderId="51" xfId="0" applyFont="1" applyFill="1" applyBorder="1"/>
    <xf numFmtId="4" fontId="1" fillId="2" borderId="51" xfId="0" applyNumberFormat="1" applyFont="1" applyFill="1" applyBorder="1"/>
    <xf numFmtId="0" fontId="12" fillId="2" borderId="1" xfId="0" applyFont="1" applyFill="1" applyBorder="1" applyAlignment="1">
      <alignment vertical="center" wrapText="1"/>
    </xf>
    <xf numFmtId="0" fontId="34" fillId="6" borderId="0" xfId="3" applyFont="1" applyFill="1"/>
    <xf numFmtId="0" fontId="38" fillId="6" borderId="0" xfId="3" applyFont="1" applyFill="1"/>
    <xf numFmtId="0" fontId="29" fillId="21" borderId="0" xfId="3" applyFill="1"/>
    <xf numFmtId="1" fontId="80" fillId="21" borderId="0" xfId="36" applyNumberFormat="1" applyFont="1" applyFill="1" applyBorder="1" applyAlignment="1">
      <alignment horizontal="left" vertical="top" wrapText="1"/>
    </xf>
    <xf numFmtId="0" fontId="1" fillId="21" borderId="0" xfId="3" applyFont="1" applyFill="1"/>
    <xf numFmtId="4" fontId="34" fillId="0" borderId="24" xfId="3" applyNumberFormat="1" applyFont="1" applyBorder="1" applyAlignment="1"/>
    <xf numFmtId="4" fontId="34" fillId="0" borderId="24" xfId="3" applyNumberFormat="1" applyFont="1" applyBorder="1" applyAlignment="1">
      <alignment horizontal="right"/>
    </xf>
    <xf numFmtId="0" fontId="38" fillId="0" borderId="50" xfId="3" applyFont="1" applyBorder="1" applyAlignment="1">
      <alignment wrapText="1"/>
    </xf>
    <xf numFmtId="4" fontId="34" fillId="0" borderId="90" xfId="3" applyNumberFormat="1" applyFont="1" applyBorder="1" applyAlignment="1"/>
    <xf numFmtId="0" fontId="29" fillId="0" borderId="90" xfId="3" applyBorder="1"/>
    <xf numFmtId="0" fontId="1" fillId="6" borderId="6" xfId="0" applyFont="1" applyFill="1" applyBorder="1" applyAlignment="1">
      <alignment horizontal="center" vertical="center" wrapText="1"/>
    </xf>
    <xf numFmtId="0" fontId="1" fillId="17" borderId="6" xfId="0" applyFont="1" applyFill="1" applyBorder="1" applyAlignment="1">
      <alignment horizontal="center" vertical="center" wrapText="1"/>
    </xf>
    <xf numFmtId="0" fontId="0" fillId="17" borderId="11" xfId="0" applyFill="1" applyBorder="1" applyAlignment="1">
      <alignment horizontal="center" vertical="center" wrapText="1"/>
    </xf>
    <xf numFmtId="0" fontId="0" fillId="13" borderId="97" xfId="0" applyFill="1" applyBorder="1"/>
    <xf numFmtId="3" fontId="0" fillId="17" borderId="97" xfId="0" applyNumberFormat="1" applyFill="1" applyBorder="1"/>
    <xf numFmtId="4" fontId="0" fillId="17" borderId="97" xfId="0" applyNumberFormat="1" applyFill="1" applyBorder="1"/>
    <xf numFmtId="4" fontId="0" fillId="6" borderId="97" xfId="0" applyNumberFormat="1" applyFill="1" applyBorder="1"/>
    <xf numFmtId="4" fontId="0" fillId="17" borderId="113" xfId="0" applyNumberFormat="1" applyFill="1" applyBorder="1"/>
    <xf numFmtId="9" fontId="0" fillId="17" borderId="113" xfId="0" applyNumberFormat="1" applyFill="1" applyBorder="1"/>
    <xf numFmtId="3" fontId="0" fillId="17" borderId="113" xfId="0" applyNumberFormat="1" applyFill="1" applyBorder="1"/>
    <xf numFmtId="168" fontId="0" fillId="17" borderId="113" xfId="0" applyNumberFormat="1" applyFill="1" applyBorder="1"/>
    <xf numFmtId="4" fontId="1" fillId="17" borderId="97" xfId="0" applyNumberFormat="1" applyFont="1" applyFill="1" applyBorder="1"/>
    <xf numFmtId="168" fontId="0" fillId="17" borderId="97" xfId="0" applyNumberFormat="1" applyFill="1" applyBorder="1"/>
    <xf numFmtId="4" fontId="0" fillId="13" borderId="97" xfId="0" applyNumberFormat="1" applyFill="1" applyBorder="1"/>
    <xf numFmtId="0" fontId="0" fillId="17" borderId="26" xfId="0" applyFill="1" applyBorder="1" applyAlignment="1">
      <alignment horizontal="center" vertical="center" wrapText="1"/>
    </xf>
    <xf numFmtId="3" fontId="0" fillId="17" borderId="24" xfId="0" applyNumberFormat="1" applyFill="1" applyBorder="1"/>
    <xf numFmtId="0" fontId="1" fillId="17" borderId="20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6" borderId="4" xfId="0" applyFont="1" applyFill="1" applyBorder="1" applyAlignment="1">
      <alignment horizontal="right" vertical="center" wrapText="1"/>
    </xf>
    <xf numFmtId="0" fontId="26" fillId="0" borderId="0" xfId="32"/>
    <xf numFmtId="0" fontId="1" fillId="15" borderId="20" xfId="32" applyFont="1" applyFill="1" applyBorder="1" applyAlignment="1">
      <alignment horizontal="center"/>
    </xf>
    <xf numFmtId="0" fontId="26" fillId="0" borderId="20" xfId="32" applyBorder="1" applyAlignment="1">
      <alignment horizontal="center"/>
    </xf>
    <xf numFmtId="0" fontId="26" fillId="0" borderId="7" xfId="32" applyBorder="1" applyAlignment="1">
      <alignment horizontal="center"/>
    </xf>
    <xf numFmtId="0" fontId="1" fillId="0" borderId="4" xfId="32" applyFont="1" applyBorder="1" applyAlignment="1">
      <alignment horizontal="center" vertical="center" wrapText="1"/>
    </xf>
    <xf numFmtId="0" fontId="1" fillId="2" borderId="4" xfId="32" applyFont="1" applyFill="1" applyBorder="1" applyAlignment="1">
      <alignment horizontal="center" vertical="center" wrapText="1"/>
    </xf>
    <xf numFmtId="0" fontId="1" fillId="5" borderId="4" xfId="32" applyFont="1" applyFill="1" applyBorder="1" applyAlignment="1">
      <alignment horizontal="center" vertical="center" wrapText="1"/>
    </xf>
    <xf numFmtId="0" fontId="1" fillId="6" borderId="4" xfId="32" applyFont="1" applyFill="1" applyBorder="1" applyAlignment="1">
      <alignment horizontal="center" vertical="center" wrapText="1"/>
    </xf>
    <xf numFmtId="0" fontId="1" fillId="21" borderId="4" xfId="32" applyFont="1" applyFill="1" applyBorder="1" applyAlignment="1">
      <alignment vertical="center" wrapText="1"/>
    </xf>
    <xf numFmtId="0" fontId="1" fillId="0" borderId="4" xfId="32" applyFont="1" applyBorder="1" applyAlignment="1">
      <alignment vertical="center" wrapText="1"/>
    </xf>
    <xf numFmtId="0" fontId="1" fillId="2" borderId="4" xfId="32" applyFont="1" applyFill="1" applyBorder="1" applyAlignment="1">
      <alignment vertical="center" wrapText="1"/>
    </xf>
    <xf numFmtId="0" fontId="1" fillId="5" borderId="10" xfId="32" applyFont="1" applyFill="1" applyBorder="1" applyAlignment="1">
      <alignment vertical="center" wrapText="1"/>
    </xf>
    <xf numFmtId="0" fontId="1" fillId="2" borderId="14" xfId="32" applyFont="1" applyFill="1" applyBorder="1" applyAlignment="1">
      <alignment vertical="center" wrapText="1"/>
    </xf>
    <xf numFmtId="0" fontId="1" fillId="5" borderId="22" xfId="32" applyFont="1" applyFill="1" applyBorder="1" applyAlignment="1">
      <alignment vertical="center" wrapText="1"/>
    </xf>
    <xf numFmtId="0" fontId="1" fillId="5" borderId="12" xfId="32" applyFont="1" applyFill="1" applyBorder="1" applyAlignment="1">
      <alignment vertical="center" wrapText="1"/>
    </xf>
    <xf numFmtId="0" fontId="1" fillId="5" borderId="4" xfId="32" applyFont="1" applyFill="1" applyBorder="1" applyAlignment="1">
      <alignment vertical="center" wrapText="1"/>
    </xf>
    <xf numFmtId="0" fontId="26" fillId="0" borderId="18" xfId="32" applyBorder="1" applyAlignment="1">
      <alignment horizontal="center" vertical="center" wrapText="1"/>
    </xf>
    <xf numFmtId="0" fontId="26" fillId="0" borderId="26" xfId="32" applyBorder="1" applyAlignment="1">
      <alignment horizontal="center" vertical="center" wrapText="1"/>
    </xf>
    <xf numFmtId="0" fontId="26" fillId="0" borderId="85" xfId="32" applyBorder="1" applyAlignment="1">
      <alignment horizontal="center" vertical="center" wrapText="1"/>
    </xf>
    <xf numFmtId="0" fontId="26" fillId="2" borderId="15" xfId="32" applyFill="1" applyBorder="1" applyAlignment="1">
      <alignment horizontal="center" vertical="center" wrapText="1"/>
    </xf>
    <xf numFmtId="0" fontId="26" fillId="5" borderId="15" xfId="32" applyFill="1" applyBorder="1" applyAlignment="1">
      <alignment horizontal="center" vertical="center" wrapText="1"/>
    </xf>
    <xf numFmtId="0" fontId="26" fillId="0" borderId="86" xfId="32" applyBorder="1" applyAlignment="1">
      <alignment horizontal="center" vertical="center" wrapText="1"/>
    </xf>
    <xf numFmtId="0" fontId="26" fillId="5" borderId="19" xfId="32" applyFill="1" applyBorder="1" applyAlignment="1">
      <alignment horizontal="center" vertical="center" wrapText="1"/>
    </xf>
    <xf numFmtId="0" fontId="26" fillId="0" borderId="87" xfId="32" applyBorder="1" applyAlignment="1">
      <alignment horizontal="center"/>
    </xf>
    <xf numFmtId="0" fontId="26" fillId="2" borderId="15" xfId="32" applyFill="1" applyBorder="1" applyAlignment="1">
      <alignment horizontal="center"/>
    </xf>
    <xf numFmtId="0" fontId="26" fillId="5" borderId="21" xfId="32" applyFill="1" applyBorder="1" applyAlignment="1">
      <alignment horizontal="center"/>
    </xf>
    <xf numFmtId="0" fontId="26" fillId="0" borderId="85" xfId="32" applyFill="1" applyBorder="1" applyAlignment="1">
      <alignment horizontal="center" vertical="center" wrapText="1"/>
    </xf>
    <xf numFmtId="0" fontId="26" fillId="5" borderId="3" xfId="32" applyFill="1" applyBorder="1" applyAlignment="1">
      <alignment horizontal="center"/>
    </xf>
    <xf numFmtId="0" fontId="26" fillId="5" borderId="23" xfId="32" applyFill="1" applyBorder="1" applyAlignment="1">
      <alignment horizontal="center"/>
    </xf>
    <xf numFmtId="0" fontId="26" fillId="5" borderId="1" xfId="32" applyFill="1" applyBorder="1" applyAlignment="1">
      <alignment horizontal="center"/>
    </xf>
    <xf numFmtId="0" fontId="26" fillId="5" borderId="0" xfId="32" applyFill="1" applyBorder="1" applyAlignment="1">
      <alignment horizontal="center"/>
    </xf>
    <xf numFmtId="0" fontId="26" fillId="0" borderId="15" xfId="32" applyFill="1" applyBorder="1" applyAlignment="1">
      <alignment horizontal="center" vertical="center" wrapText="1"/>
    </xf>
    <xf numFmtId="0" fontId="26" fillId="0" borderId="86" xfId="32" applyFill="1" applyBorder="1" applyAlignment="1">
      <alignment horizontal="center" vertical="center" wrapText="1"/>
    </xf>
    <xf numFmtId="0" fontId="26" fillId="0" borderId="1" xfId="32" applyBorder="1" applyAlignment="1">
      <alignment horizontal="center" vertical="center" wrapText="1"/>
    </xf>
    <xf numFmtId="0" fontId="26" fillId="0" borderId="24" xfId="32" applyBorder="1" applyAlignment="1">
      <alignment horizontal="center" vertical="center" wrapText="1"/>
    </xf>
    <xf numFmtId="0" fontId="26" fillId="0" borderId="89" xfId="32" applyBorder="1" applyAlignment="1">
      <alignment horizontal="center" vertical="center" wrapText="1"/>
    </xf>
    <xf numFmtId="0" fontId="26" fillId="2" borderId="1" xfId="32" applyFill="1" applyBorder="1" applyAlignment="1">
      <alignment horizontal="center" vertical="center" wrapText="1"/>
    </xf>
    <xf numFmtId="0" fontId="26" fillId="5" borderId="1" xfId="32" applyFill="1" applyBorder="1" applyAlignment="1">
      <alignment horizontal="center" vertical="center" wrapText="1"/>
    </xf>
    <xf numFmtId="0" fontId="26" fillId="5" borderId="30" xfId="32" applyFill="1" applyBorder="1" applyAlignment="1">
      <alignment horizontal="center" vertical="center" wrapText="1"/>
    </xf>
    <xf numFmtId="0" fontId="26" fillId="0" borderId="89" xfId="32" applyBorder="1" applyAlignment="1">
      <alignment horizontal="center"/>
    </xf>
    <xf numFmtId="0" fontId="26" fillId="2" borderId="1" xfId="32" applyFill="1" applyBorder="1" applyAlignment="1">
      <alignment horizontal="center"/>
    </xf>
    <xf numFmtId="0" fontId="26" fillId="5" borderId="24" xfId="32" applyFill="1" applyBorder="1" applyAlignment="1">
      <alignment horizontal="center"/>
    </xf>
    <xf numFmtId="0" fontId="26" fillId="0" borderId="89" xfId="32" applyFill="1" applyBorder="1" applyAlignment="1">
      <alignment horizontal="center" vertical="center" wrapText="1"/>
    </xf>
    <xf numFmtId="0" fontId="26" fillId="5" borderId="62" xfId="32" applyFill="1" applyBorder="1" applyAlignment="1">
      <alignment horizontal="center"/>
    </xf>
    <xf numFmtId="0" fontId="26" fillId="0" borderId="1" xfId="32" applyFill="1" applyBorder="1" applyAlignment="1">
      <alignment horizontal="center" vertical="center" wrapText="1"/>
    </xf>
    <xf numFmtId="0" fontId="26" fillId="0" borderId="90" xfId="32" applyFill="1" applyBorder="1" applyAlignment="1">
      <alignment horizontal="center" vertical="center" wrapText="1"/>
    </xf>
    <xf numFmtId="49" fontId="1" fillId="7" borderId="58" xfId="32" applyNumberFormat="1" applyFont="1" applyFill="1" applyBorder="1" applyAlignment="1">
      <alignment horizontal="left" vertical="center" wrapText="1"/>
    </xf>
    <xf numFmtId="49" fontId="3" fillId="7" borderId="51" xfId="32" applyNumberFormat="1" applyFont="1" applyFill="1" applyBorder="1" applyAlignment="1">
      <alignment horizontal="left" vertical="center" wrapText="1"/>
    </xf>
    <xf numFmtId="49" fontId="1" fillId="7" borderId="78" xfId="32" applyNumberFormat="1" applyFont="1" applyFill="1" applyBorder="1" applyAlignment="1">
      <alignment horizontal="center" vertical="center" wrapText="1"/>
    </xf>
    <xf numFmtId="4" fontId="1" fillId="7" borderId="58" xfId="32" applyNumberFormat="1" applyFont="1" applyFill="1" applyBorder="1" applyAlignment="1">
      <alignment vertical="center" wrapText="1"/>
    </xf>
    <xf numFmtId="4" fontId="1" fillId="7" borderId="51" xfId="32" applyNumberFormat="1" applyFont="1" applyFill="1" applyBorder="1" applyAlignment="1">
      <alignment vertical="center" wrapText="1"/>
    </xf>
    <xf numFmtId="4" fontId="1" fillId="7" borderId="93" xfId="32" applyNumberFormat="1" applyFont="1" applyFill="1" applyBorder="1" applyAlignment="1">
      <alignment vertical="center" wrapText="1"/>
    </xf>
    <xf numFmtId="4" fontId="1" fillId="7" borderId="6" xfId="32" applyNumberFormat="1" applyFont="1" applyFill="1" applyBorder="1" applyAlignment="1">
      <alignment vertical="center" wrapText="1"/>
    </xf>
    <xf numFmtId="4" fontId="1" fillId="7" borderId="72" xfId="32" applyNumberFormat="1" applyFont="1" applyFill="1" applyBorder="1" applyAlignment="1">
      <alignment vertical="center" wrapText="1"/>
    </xf>
    <xf numFmtId="4" fontId="1" fillId="7" borderId="78" xfId="32" applyNumberFormat="1" applyFont="1" applyFill="1" applyBorder="1" applyAlignment="1">
      <alignment vertical="center" wrapText="1"/>
    </xf>
    <xf numFmtId="4" fontId="1" fillId="7" borderId="52" xfId="32" applyNumberFormat="1" applyFont="1" applyFill="1" applyBorder="1" applyAlignment="1">
      <alignment vertical="center" wrapText="1"/>
    </xf>
    <xf numFmtId="4" fontId="1" fillId="7" borderId="80" xfId="32" applyNumberFormat="1" applyFont="1" applyFill="1" applyBorder="1" applyAlignment="1">
      <alignment vertical="center" wrapText="1"/>
    </xf>
    <xf numFmtId="4" fontId="1" fillId="7" borderId="13" xfId="32" applyNumberFormat="1" applyFont="1" applyFill="1" applyBorder="1" applyAlignment="1">
      <alignment vertical="center" wrapText="1"/>
    </xf>
    <xf numFmtId="49" fontId="26" fillId="0" borderId="3" xfId="32" applyNumberFormat="1" applyBorder="1" applyAlignment="1">
      <alignment vertical="center" wrapText="1"/>
    </xf>
    <xf numFmtId="49" fontId="2" fillId="0" borderId="3" xfId="32" applyNumberFormat="1" applyFont="1" applyBorder="1" applyAlignment="1">
      <alignment horizontal="left" vertical="center" wrapText="1"/>
    </xf>
    <xf numFmtId="49" fontId="26" fillId="0" borderId="23" xfId="32" applyNumberFormat="1" applyBorder="1" applyAlignment="1">
      <alignment horizontal="center" vertical="center" wrapText="1"/>
    </xf>
    <xf numFmtId="4" fontId="26" fillId="0" borderId="87" xfId="32" applyNumberFormat="1" applyBorder="1" applyAlignment="1">
      <alignment vertical="center" wrapText="1"/>
    </xf>
    <xf numFmtId="4" fontId="26" fillId="2" borderId="3" xfId="32" applyNumberFormat="1" applyFill="1" applyBorder="1" applyAlignment="1">
      <alignment vertical="center" wrapText="1"/>
    </xf>
    <xf numFmtId="4" fontId="26" fillId="5" borderId="3" xfId="32" applyNumberFormat="1" applyFill="1" applyBorder="1" applyAlignment="1">
      <alignment vertical="center" wrapText="1"/>
    </xf>
    <xf numFmtId="4" fontId="26" fillId="33" borderId="88" xfId="32" applyNumberFormat="1" applyFill="1" applyBorder="1" applyAlignment="1">
      <alignment vertical="center" wrapText="1"/>
    </xf>
    <xf numFmtId="4" fontId="26" fillId="5" borderId="33" xfId="32" applyNumberFormat="1" applyFill="1" applyBorder="1" applyAlignment="1">
      <alignment vertical="center" wrapText="1"/>
    </xf>
    <xf numFmtId="4" fontId="26" fillId="5" borderId="23" xfId="32" applyNumberFormat="1" applyFill="1" applyBorder="1" applyAlignment="1">
      <alignment vertical="center" wrapText="1"/>
    </xf>
    <xf numFmtId="4" fontId="26" fillId="5" borderId="1" xfId="32" applyNumberFormat="1" applyFill="1" applyBorder="1" applyAlignment="1">
      <alignment vertical="center" wrapText="1"/>
    </xf>
    <xf numFmtId="4" fontId="26" fillId="5" borderId="24" xfId="32" applyNumberFormat="1" applyFill="1" applyBorder="1" applyAlignment="1">
      <alignment vertical="center" wrapText="1"/>
    </xf>
    <xf numFmtId="4" fontId="26" fillId="34" borderId="1" xfId="32" applyNumberFormat="1" applyFill="1" applyBorder="1" applyAlignment="1">
      <alignment vertical="center" wrapText="1"/>
    </xf>
    <xf numFmtId="4" fontId="26" fillId="5" borderId="61" xfId="32" applyNumberFormat="1" applyFill="1" applyBorder="1" applyAlignment="1">
      <alignment vertical="center" wrapText="1"/>
    </xf>
    <xf numFmtId="4" fontId="26" fillId="0" borderId="3" xfId="32" applyNumberFormat="1" applyBorder="1" applyAlignment="1">
      <alignment vertical="center" wrapText="1"/>
    </xf>
    <xf numFmtId="4" fontId="26" fillId="0" borderId="88" xfId="32" applyNumberFormat="1" applyBorder="1" applyAlignment="1">
      <alignment vertical="center" wrapText="1"/>
    </xf>
    <xf numFmtId="49" fontId="26" fillId="0" borderId="1" xfId="32" applyNumberFormat="1" applyBorder="1" applyAlignment="1">
      <alignment horizontal="left" vertical="center" wrapText="1"/>
    </xf>
    <xf numFmtId="49" fontId="2" fillId="0" borderId="1" xfId="32" applyNumberFormat="1" applyFont="1" applyBorder="1" applyAlignment="1">
      <alignment horizontal="left" vertical="center" wrapText="1"/>
    </xf>
    <xf numFmtId="49" fontId="26" fillId="0" borderId="24" xfId="32" applyNumberFormat="1" applyBorder="1" applyAlignment="1">
      <alignment horizontal="center" vertical="center" wrapText="1"/>
    </xf>
    <xf numFmtId="4" fontId="26" fillId="0" borderId="89" xfId="32" applyNumberFormat="1" applyBorder="1" applyAlignment="1">
      <alignment vertical="center" wrapText="1"/>
    </xf>
    <xf numFmtId="4" fontId="26" fillId="2" borderId="1" xfId="32" applyNumberFormat="1" applyFill="1" applyBorder="1" applyAlignment="1">
      <alignment vertical="center" wrapText="1"/>
    </xf>
    <xf numFmtId="4" fontId="26" fillId="33" borderId="90" xfId="32" applyNumberFormat="1" applyFill="1" applyBorder="1" applyAlignment="1">
      <alignment vertical="center" wrapText="1"/>
    </xf>
    <xf numFmtId="49" fontId="26" fillId="0" borderId="1" xfId="32" applyNumberFormat="1" applyBorder="1" applyAlignment="1">
      <alignment vertical="center" wrapText="1"/>
    </xf>
    <xf numFmtId="4" fontId="23" fillId="0" borderId="89" xfId="32" applyNumberFormat="1" applyFont="1" applyBorder="1" applyAlignment="1">
      <alignment vertical="center" wrapText="1"/>
    </xf>
    <xf numFmtId="4" fontId="23" fillId="2" borderId="1" xfId="32" applyNumberFormat="1" applyFont="1" applyFill="1" applyBorder="1" applyAlignment="1">
      <alignment vertical="center" wrapText="1"/>
    </xf>
    <xf numFmtId="4" fontId="23" fillId="5" borderId="1" xfId="32" applyNumberFormat="1" applyFont="1" applyFill="1" applyBorder="1" applyAlignment="1">
      <alignment vertical="center" wrapText="1"/>
    </xf>
    <xf numFmtId="4" fontId="23" fillId="0" borderId="90" xfId="32" applyNumberFormat="1" applyFont="1" applyBorder="1" applyAlignment="1">
      <alignment vertical="center" wrapText="1"/>
    </xf>
    <xf numFmtId="49" fontId="26" fillId="0" borderId="2" xfId="32" applyNumberFormat="1" applyBorder="1" applyAlignment="1">
      <alignment vertical="center" wrapText="1"/>
    </xf>
    <xf numFmtId="49" fontId="2" fillId="0" borderId="2" xfId="32" applyNumberFormat="1" applyFont="1" applyBorder="1" applyAlignment="1">
      <alignment horizontal="left" vertical="center" wrapText="1"/>
    </xf>
    <xf numFmtId="49" fontId="26" fillId="0" borderId="25" xfId="32" applyNumberFormat="1" applyBorder="1" applyAlignment="1">
      <alignment horizontal="center" vertical="center" wrapText="1"/>
    </xf>
    <xf numFmtId="4" fontId="26" fillId="0" borderId="91" xfId="32" applyNumberFormat="1" applyBorder="1" applyAlignment="1">
      <alignment vertical="center" wrapText="1"/>
    </xf>
    <xf numFmtId="4" fontId="26" fillId="2" borderId="2" xfId="32" applyNumberFormat="1" applyFill="1" applyBorder="1" applyAlignment="1">
      <alignment vertical="center" wrapText="1"/>
    </xf>
    <xf numFmtId="4" fontId="26" fillId="5" borderId="2" xfId="32" applyNumberFormat="1" applyFill="1" applyBorder="1" applyAlignment="1">
      <alignment vertical="center" wrapText="1"/>
    </xf>
    <xf numFmtId="4" fontId="26" fillId="5" borderId="25" xfId="32" applyNumberFormat="1" applyFill="1" applyBorder="1" applyAlignment="1">
      <alignment vertical="center" wrapText="1"/>
    </xf>
    <xf numFmtId="4" fontId="26" fillId="0" borderId="2" xfId="32" applyNumberFormat="1" applyBorder="1" applyAlignment="1">
      <alignment vertical="center" wrapText="1"/>
    </xf>
    <xf numFmtId="49" fontId="1" fillId="2" borderId="22" xfId="32" applyNumberFormat="1" applyFont="1" applyFill="1" applyBorder="1" applyAlignment="1">
      <alignment horizontal="center" vertical="center" wrapText="1"/>
    </xf>
    <xf numFmtId="4" fontId="1" fillId="2" borderId="8" xfId="32" applyNumberFormat="1" applyFont="1" applyFill="1" applyBorder="1" applyAlignment="1">
      <alignment vertical="center" wrapText="1"/>
    </xf>
    <xf numFmtId="4" fontId="1" fillId="2" borderId="9" xfId="32" applyNumberFormat="1" applyFont="1" applyFill="1" applyBorder="1" applyAlignment="1">
      <alignment vertical="center" wrapText="1"/>
    </xf>
    <xf numFmtId="4" fontId="1" fillId="2" borderId="4" xfId="32" applyNumberFormat="1" applyFont="1" applyFill="1" applyBorder="1" applyAlignment="1">
      <alignment vertical="center" wrapText="1"/>
    </xf>
    <xf numFmtId="4" fontId="1" fillId="0" borderId="8" xfId="32" applyNumberFormat="1" applyFont="1" applyBorder="1" applyAlignment="1">
      <alignment vertical="center" wrapText="1"/>
    </xf>
    <xf numFmtId="4" fontId="1" fillId="0" borderId="10" xfId="32" applyNumberFormat="1" applyFont="1" applyBorder="1" applyAlignment="1">
      <alignment vertical="center" wrapText="1"/>
    </xf>
    <xf numFmtId="4" fontId="1" fillId="2" borderId="10" xfId="32" applyNumberFormat="1" applyFont="1" applyFill="1" applyBorder="1" applyAlignment="1">
      <alignment vertical="center" wrapText="1"/>
    </xf>
    <xf numFmtId="4" fontId="1" fillId="2" borderId="1" xfId="32" applyNumberFormat="1" applyFont="1" applyFill="1" applyBorder="1" applyAlignment="1">
      <alignment vertical="center" wrapText="1"/>
    </xf>
    <xf numFmtId="49" fontId="1" fillId="0" borderId="87" xfId="32" applyNumberFormat="1" applyFont="1" applyBorder="1" applyAlignment="1">
      <alignment vertical="center" wrapText="1"/>
    </xf>
    <xf numFmtId="49" fontId="3" fillId="0" borderId="3" xfId="32" applyNumberFormat="1" applyFont="1" applyBorder="1" applyAlignment="1">
      <alignment horizontal="left" vertical="center" wrapText="1"/>
    </xf>
    <xf numFmtId="49" fontId="1" fillId="0" borderId="23" xfId="32" applyNumberFormat="1" applyFont="1" applyBorder="1" applyAlignment="1">
      <alignment horizontal="center" vertical="center" wrapText="1"/>
    </xf>
    <xf numFmtId="4" fontId="1" fillId="0" borderId="87" xfId="32" applyNumberFormat="1" applyFont="1" applyBorder="1" applyAlignment="1">
      <alignment vertical="center" wrapText="1"/>
    </xf>
    <xf numFmtId="4" fontId="1" fillId="0" borderId="3" xfId="32" applyNumberFormat="1" applyFont="1" applyBorder="1" applyAlignment="1">
      <alignment vertical="center" wrapText="1"/>
    </xf>
    <xf numFmtId="4" fontId="1" fillId="0" borderId="88" xfId="32" applyNumberFormat="1" applyFont="1" applyBorder="1" applyAlignment="1">
      <alignment vertical="center" wrapText="1"/>
    </xf>
    <xf numFmtId="4" fontId="1" fillId="0" borderId="33" xfId="32" applyNumberFormat="1" applyFont="1" applyBorder="1" applyAlignment="1">
      <alignment vertical="center" wrapText="1"/>
    </xf>
    <xf numFmtId="4" fontId="1" fillId="0" borderId="81" xfId="32" applyNumberFormat="1" applyFont="1" applyBorder="1" applyAlignment="1">
      <alignment vertical="center" wrapText="1"/>
    </xf>
    <xf numFmtId="4" fontId="1" fillId="0" borderId="96" xfId="32" applyNumberFormat="1" applyFont="1" applyBorder="1" applyAlignment="1">
      <alignment vertical="center" wrapText="1"/>
    </xf>
    <xf numFmtId="0" fontId="1" fillId="6" borderId="1" xfId="32" applyFont="1" applyFill="1" applyBorder="1" applyAlignment="1">
      <alignment wrapText="1"/>
    </xf>
    <xf numFmtId="0" fontId="26" fillId="0" borderId="24" xfId="32" applyBorder="1" applyAlignment="1">
      <alignment horizontal="center"/>
    </xf>
    <xf numFmtId="4" fontId="26" fillId="0" borderId="1" xfId="32" applyNumberFormat="1" applyBorder="1" applyAlignment="1">
      <alignment vertical="center" wrapText="1"/>
    </xf>
    <xf numFmtId="4" fontId="26" fillId="0" borderId="30" xfId="32" applyNumberFormat="1" applyBorder="1" applyAlignment="1">
      <alignment vertical="center" wrapText="1"/>
    </xf>
    <xf numFmtId="4" fontId="26" fillId="5" borderId="62" xfId="32" applyNumberFormat="1" applyFill="1" applyBorder="1" applyAlignment="1">
      <alignment vertical="center" wrapText="1"/>
    </xf>
    <xf numFmtId="4" fontId="26" fillId="0" borderId="90" xfId="32" applyNumberFormat="1" applyBorder="1" applyAlignment="1">
      <alignment vertical="center" wrapText="1"/>
    </xf>
    <xf numFmtId="49" fontId="2" fillId="6" borderId="1" xfId="32" applyNumberFormat="1" applyFont="1" applyFill="1" applyBorder="1" applyAlignment="1">
      <alignment horizontal="left" vertical="center" wrapText="1"/>
    </xf>
    <xf numFmtId="4" fontId="26" fillId="2" borderId="30" xfId="32" applyNumberFormat="1" applyFill="1" applyBorder="1" applyAlignment="1">
      <alignment vertical="center" wrapText="1"/>
    </xf>
    <xf numFmtId="4" fontId="26" fillId="0" borderId="32" xfId="32" applyNumberFormat="1" applyBorder="1" applyAlignment="1">
      <alignment vertical="center" wrapText="1"/>
    </xf>
    <xf numFmtId="49" fontId="3" fillId="0" borderId="1" xfId="32" applyNumberFormat="1" applyFont="1" applyBorder="1" applyAlignment="1">
      <alignment horizontal="left" vertical="center" wrapText="1"/>
    </xf>
    <xf numFmtId="4" fontId="26" fillId="0" borderId="65" xfId="32" applyNumberFormat="1" applyBorder="1" applyAlignment="1">
      <alignment vertical="center" wrapText="1"/>
    </xf>
    <xf numFmtId="4" fontId="26" fillId="5" borderId="66" xfId="32" applyNumberFormat="1" applyFill="1" applyBorder="1" applyAlignment="1">
      <alignment vertical="center" wrapText="1"/>
    </xf>
    <xf numFmtId="49" fontId="1" fillId="2" borderId="72" xfId="32" applyNumberFormat="1" applyFont="1" applyFill="1" applyBorder="1" applyAlignment="1">
      <alignment horizontal="left" vertical="center" wrapText="1"/>
    </xf>
    <xf numFmtId="49" fontId="3" fillId="2" borderId="53" xfId="32" applyNumberFormat="1" applyFont="1" applyFill="1" applyBorder="1" applyAlignment="1">
      <alignment horizontal="left" vertical="center" wrapText="1"/>
    </xf>
    <xf numFmtId="49" fontId="1" fillId="2" borderId="10" xfId="32" applyNumberFormat="1" applyFont="1" applyFill="1" applyBorder="1" applyAlignment="1">
      <alignment horizontal="center" vertical="center" wrapText="1"/>
    </xf>
    <xf numFmtId="4" fontId="1" fillId="2" borderId="14" xfId="32" applyNumberFormat="1" applyFont="1" applyFill="1" applyBorder="1" applyAlignment="1">
      <alignment vertical="center" wrapText="1"/>
    </xf>
    <xf numFmtId="4" fontId="1" fillId="5" borderId="22" xfId="32" applyNumberFormat="1" applyFont="1" applyFill="1" applyBorder="1" applyAlignment="1">
      <alignment vertical="center" wrapText="1"/>
    </xf>
    <xf numFmtId="4" fontId="1" fillId="5" borderId="8" xfId="32" applyNumberFormat="1" applyFont="1" applyFill="1" applyBorder="1" applyAlignment="1">
      <alignment vertical="center" wrapText="1"/>
    </xf>
    <xf numFmtId="4" fontId="1" fillId="5" borderId="10" xfId="32" applyNumberFormat="1" applyFont="1" applyFill="1" applyBorder="1" applyAlignment="1">
      <alignment vertical="center" wrapText="1"/>
    </xf>
    <xf numFmtId="4" fontId="1" fillId="2" borderId="72" xfId="32" applyNumberFormat="1" applyFont="1" applyFill="1" applyBorder="1" applyAlignment="1">
      <alignment vertical="center" wrapText="1"/>
    </xf>
    <xf numFmtId="49" fontId="26" fillId="0" borderId="3" xfId="32" applyNumberFormat="1" applyBorder="1" applyAlignment="1">
      <alignment horizontal="left" vertical="center" wrapText="1"/>
    </xf>
    <xf numFmtId="49" fontId="2" fillId="0" borderId="3" xfId="32" applyNumberFormat="1" applyFont="1" applyFill="1" applyBorder="1" applyAlignment="1">
      <alignment horizontal="left" vertical="center" wrapText="1"/>
    </xf>
    <xf numFmtId="10" fontId="26" fillId="0" borderId="23" xfId="32" applyNumberFormat="1" applyFill="1" applyBorder="1" applyAlignment="1">
      <alignment horizontal="center"/>
    </xf>
    <xf numFmtId="4" fontId="26" fillId="0" borderId="87" xfId="32" applyNumberFormat="1" applyFill="1" applyBorder="1" applyAlignment="1">
      <alignment vertical="center" wrapText="1"/>
    </xf>
    <xf numFmtId="4" fontId="26" fillId="0" borderId="88" xfId="32" applyNumberFormat="1" applyFill="1" applyBorder="1" applyAlignment="1">
      <alignment vertical="center" wrapText="1"/>
    </xf>
    <xf numFmtId="169" fontId="0" fillId="0" borderId="87" xfId="33" applyNumberFormat="1" applyFont="1" applyFill="1" applyBorder="1" applyAlignment="1">
      <alignment vertical="center" wrapText="1"/>
    </xf>
    <xf numFmtId="4" fontId="26" fillId="0" borderId="3" xfId="32" applyNumberFormat="1" applyFill="1" applyBorder="1" applyAlignment="1">
      <alignment vertical="center" wrapText="1"/>
    </xf>
    <xf numFmtId="49" fontId="2" fillId="0" borderId="1" xfId="32" applyNumberFormat="1" applyFont="1" applyFill="1" applyBorder="1" applyAlignment="1">
      <alignment horizontal="left" vertical="center" wrapText="1"/>
    </xf>
    <xf numFmtId="0" fontId="26" fillId="0" borderId="24" xfId="32" applyFill="1" applyBorder="1" applyAlignment="1">
      <alignment horizontal="center"/>
    </xf>
    <xf numFmtId="4" fontId="26" fillId="0" borderId="89" xfId="32" applyNumberFormat="1" applyFill="1" applyBorder="1" applyAlignment="1">
      <alignment horizontal="right" vertical="center" wrapText="1"/>
    </xf>
    <xf numFmtId="4" fontId="26" fillId="0" borderId="82" xfId="32" applyNumberFormat="1" applyFill="1" applyBorder="1" applyAlignment="1">
      <alignment horizontal="right" vertical="center" wrapText="1"/>
    </xf>
    <xf numFmtId="4" fontId="26" fillId="0" borderId="30" xfId="32" applyNumberFormat="1" applyFill="1" applyBorder="1" applyAlignment="1">
      <alignment horizontal="right" vertical="center" wrapText="1"/>
    </xf>
    <xf numFmtId="4" fontId="26" fillId="2" borderId="1" xfId="32" applyNumberFormat="1" applyFill="1" applyBorder="1" applyAlignment="1">
      <alignment horizontal="right" vertical="center" wrapText="1"/>
    </xf>
    <xf numFmtId="4" fontId="26" fillId="5" borderId="24" xfId="32" applyNumberFormat="1" applyFill="1" applyBorder="1" applyAlignment="1">
      <alignment horizontal="right" vertical="center" wrapText="1"/>
    </xf>
    <xf numFmtId="4" fontId="26" fillId="5" borderId="1" xfId="32" applyNumberFormat="1" applyFill="1" applyBorder="1" applyAlignment="1">
      <alignment horizontal="right" vertical="center" wrapText="1"/>
    </xf>
    <xf numFmtId="4" fontId="26" fillId="5" borderId="62" xfId="32" applyNumberFormat="1" applyFill="1" applyBorder="1" applyAlignment="1">
      <alignment horizontal="right" vertical="center" wrapText="1"/>
    </xf>
    <xf numFmtId="4" fontId="26" fillId="0" borderId="1" xfId="32" applyNumberFormat="1" applyFill="1" applyBorder="1" applyAlignment="1">
      <alignment horizontal="right" vertical="center" wrapText="1"/>
    </xf>
    <xf numFmtId="4" fontId="26" fillId="0" borderId="90" xfId="32" applyNumberFormat="1" applyFill="1" applyBorder="1" applyAlignment="1">
      <alignment horizontal="right" vertical="center" wrapText="1"/>
    </xf>
    <xf numFmtId="49" fontId="1" fillId="7" borderId="1" xfId="32" applyNumberFormat="1" applyFont="1" applyFill="1" applyBorder="1" applyAlignment="1">
      <alignment vertical="center" wrapText="1"/>
    </xf>
    <xf numFmtId="49" fontId="3" fillId="7" borderId="1" xfId="32" applyNumberFormat="1" applyFont="1" applyFill="1" applyBorder="1" applyAlignment="1">
      <alignment horizontal="left" vertical="center" wrapText="1"/>
    </xf>
    <xf numFmtId="49" fontId="1" fillId="7" borderId="24" xfId="32" applyNumberFormat="1" applyFont="1" applyFill="1" applyBorder="1" applyAlignment="1">
      <alignment horizontal="center" vertical="center" wrapText="1"/>
    </xf>
    <xf numFmtId="4" fontId="1" fillId="7" borderId="89" xfId="32" applyNumberFormat="1" applyFont="1" applyFill="1" applyBorder="1" applyAlignment="1">
      <alignment vertical="center" wrapText="1"/>
    </xf>
    <xf numFmtId="4" fontId="1" fillId="5" borderId="1" xfId="32" applyNumberFormat="1" applyFont="1" applyFill="1" applyBorder="1" applyAlignment="1">
      <alignment vertical="center" wrapText="1"/>
    </xf>
    <xf numFmtId="4" fontId="1" fillId="33" borderId="90" xfId="32" applyNumberFormat="1" applyFont="1" applyFill="1" applyBorder="1" applyAlignment="1">
      <alignment vertical="center" wrapText="1"/>
    </xf>
    <xf numFmtId="4" fontId="1" fillId="5" borderId="30" xfId="32" applyNumberFormat="1" applyFont="1" applyFill="1" applyBorder="1" applyAlignment="1">
      <alignment vertical="center" wrapText="1"/>
    </xf>
    <xf numFmtId="4" fontId="1" fillId="2" borderId="3" xfId="32" applyNumberFormat="1" applyFont="1" applyFill="1" applyBorder="1" applyAlignment="1">
      <alignment vertical="center" wrapText="1"/>
    </xf>
    <xf numFmtId="4" fontId="1" fillId="5" borderId="23" xfId="32" applyNumberFormat="1" applyFont="1" applyFill="1" applyBorder="1" applyAlignment="1">
      <alignment vertical="center" wrapText="1"/>
    </xf>
    <xf numFmtId="49" fontId="1" fillId="7" borderId="1" xfId="32" applyNumberFormat="1" applyFont="1" applyFill="1" applyBorder="1" applyAlignment="1">
      <alignment horizontal="left" vertical="center" wrapText="1"/>
    </xf>
    <xf numFmtId="4" fontId="1" fillId="7" borderId="90" xfId="32" applyNumberFormat="1" applyFont="1" applyFill="1" applyBorder="1" applyAlignment="1">
      <alignment vertical="center" wrapText="1"/>
    </xf>
    <xf numFmtId="49" fontId="1" fillId="0" borderId="1" xfId="32" applyNumberFormat="1" applyFont="1" applyFill="1" applyBorder="1" applyAlignment="1">
      <alignment vertical="center" wrapText="1"/>
    </xf>
    <xf numFmtId="49" fontId="3" fillId="0" borderId="1" xfId="32" applyNumberFormat="1" applyFont="1" applyFill="1" applyBorder="1" applyAlignment="1">
      <alignment horizontal="left" vertical="center" wrapText="1"/>
    </xf>
    <xf numFmtId="49" fontId="1" fillId="0" borderId="24" xfId="32" applyNumberFormat="1" applyFont="1" applyFill="1" applyBorder="1" applyAlignment="1">
      <alignment horizontal="center" vertical="center" wrapText="1"/>
    </xf>
    <xf numFmtId="4" fontId="1" fillId="0" borderId="89" xfId="32" applyNumberFormat="1" applyFont="1" applyFill="1" applyBorder="1" applyAlignment="1">
      <alignment vertical="center" wrapText="1"/>
    </xf>
    <xf numFmtId="4" fontId="1" fillId="0" borderId="1" xfId="32" applyNumberFormat="1" applyFont="1" applyFill="1" applyBorder="1" applyAlignment="1">
      <alignment vertical="center" wrapText="1"/>
    </xf>
    <xf numFmtId="4" fontId="1" fillId="0" borderId="90" xfId="32" applyNumberFormat="1" applyFont="1" applyFill="1" applyBorder="1" applyAlignment="1">
      <alignment vertical="center" wrapText="1"/>
    </xf>
    <xf numFmtId="49" fontId="1" fillId="14" borderId="1" xfId="32" applyNumberFormat="1" applyFont="1" applyFill="1" applyBorder="1" applyAlignment="1">
      <alignment vertical="center" wrapText="1"/>
    </xf>
    <xf numFmtId="49" fontId="3" fillId="14" borderId="1" xfId="32" applyNumberFormat="1" applyFont="1" applyFill="1" applyBorder="1" applyAlignment="1">
      <alignment horizontal="left" vertical="center" wrapText="1"/>
    </xf>
    <xf numFmtId="49" fontId="1" fillId="14" borderId="24" xfId="32" applyNumberFormat="1" applyFont="1" applyFill="1" applyBorder="1" applyAlignment="1">
      <alignment horizontal="center" vertical="center" wrapText="1"/>
    </xf>
    <xf numFmtId="4" fontId="1" fillId="14" borderId="89" xfId="32" applyNumberFormat="1" applyFont="1" applyFill="1" applyBorder="1" applyAlignment="1">
      <alignment vertical="center" wrapText="1"/>
    </xf>
    <xf numFmtId="4" fontId="1" fillId="14" borderId="1" xfId="32" applyNumberFormat="1" applyFont="1" applyFill="1" applyBorder="1" applyAlignment="1">
      <alignment vertical="center" wrapText="1"/>
    </xf>
    <xf numFmtId="4" fontId="24" fillId="14" borderId="90" xfId="32" applyNumberFormat="1" applyFont="1" applyFill="1" applyBorder="1" applyAlignment="1">
      <alignment vertical="center" wrapText="1"/>
    </xf>
    <xf numFmtId="4" fontId="1" fillId="14" borderId="3" xfId="32" applyNumberFormat="1" applyFont="1" applyFill="1" applyBorder="1" applyAlignment="1">
      <alignment vertical="center" wrapText="1"/>
    </xf>
    <xf numFmtId="4" fontId="1" fillId="14" borderId="23" xfId="32" applyNumberFormat="1" applyFont="1" applyFill="1" applyBorder="1" applyAlignment="1">
      <alignment vertical="center" wrapText="1"/>
    </xf>
    <xf numFmtId="2" fontId="26" fillId="6" borderId="4" xfId="32" applyNumberFormat="1" applyFill="1" applyBorder="1" applyAlignment="1">
      <alignment horizontal="left" vertical="center" wrapText="1"/>
    </xf>
    <xf numFmtId="2" fontId="26" fillId="6" borderId="8" xfId="32" applyNumberFormat="1" applyFill="1" applyBorder="1" applyAlignment="1">
      <alignment vertical="center" wrapText="1"/>
    </xf>
    <xf numFmtId="2" fontId="26" fillId="6" borderId="22" xfId="32" applyNumberFormat="1" applyFill="1" applyBorder="1" applyAlignment="1">
      <alignment vertical="center" wrapText="1"/>
    </xf>
    <xf numFmtId="4" fontId="26" fillId="6" borderId="8" xfId="32" applyNumberFormat="1" applyFill="1" applyBorder="1" applyAlignment="1">
      <alignment horizontal="center"/>
    </xf>
    <xf numFmtId="4" fontId="26" fillId="6" borderId="10" xfId="32" applyNumberFormat="1" applyFill="1" applyBorder="1" applyAlignment="1">
      <alignment horizontal="center"/>
    </xf>
    <xf numFmtId="4" fontId="26" fillId="6" borderId="4" xfId="32" applyNumberFormat="1" applyFill="1" applyBorder="1" applyAlignment="1">
      <alignment horizontal="center"/>
    </xf>
    <xf numFmtId="2" fontId="26" fillId="6" borderId="10" xfId="32" applyNumberFormat="1" applyFill="1" applyBorder="1" applyAlignment="1">
      <alignment horizontal="left" vertical="center" wrapText="1"/>
    </xf>
    <xf numFmtId="2" fontId="26" fillId="6" borderId="14" xfId="32" applyNumberFormat="1" applyFill="1" applyBorder="1" applyAlignment="1">
      <alignment vertical="center" wrapText="1"/>
    </xf>
    <xf numFmtId="4" fontId="26" fillId="6" borderId="14" xfId="32" applyNumberFormat="1" applyFill="1" applyBorder="1" applyAlignment="1">
      <alignment horizontal="center"/>
    </xf>
    <xf numFmtId="4" fontId="26" fillId="6" borderId="22" xfId="32" applyNumberFormat="1" applyFill="1" applyBorder="1" applyAlignment="1">
      <alignment horizontal="center"/>
    </xf>
    <xf numFmtId="2" fontId="26" fillId="6" borderId="3" xfId="32" applyNumberFormat="1" applyFill="1" applyBorder="1" applyAlignment="1">
      <alignment horizontal="left" vertical="center" wrapText="1"/>
    </xf>
    <xf numFmtId="0" fontId="16" fillId="6" borderId="3" xfId="32" applyFont="1" applyFill="1" applyBorder="1" applyAlignment="1">
      <alignment horizontal="center" wrapText="1"/>
    </xf>
    <xf numFmtId="2" fontId="26" fillId="6" borderId="3" xfId="32" applyNumberFormat="1" applyFill="1" applyBorder="1" applyAlignment="1">
      <alignment vertical="center" wrapText="1"/>
    </xf>
    <xf numFmtId="4" fontId="26" fillId="6" borderId="3" xfId="32" applyNumberFormat="1" applyFill="1" applyBorder="1" applyAlignment="1">
      <alignment horizontal="center"/>
    </xf>
    <xf numFmtId="4" fontId="26" fillId="6" borderId="23" xfId="32" applyNumberFormat="1" applyFill="1" applyBorder="1" applyAlignment="1">
      <alignment horizontal="center"/>
    </xf>
    <xf numFmtId="4" fontId="26" fillId="6" borderId="1" xfId="32" applyNumberFormat="1" applyFill="1" applyBorder="1" applyAlignment="1">
      <alignment horizontal="center"/>
    </xf>
    <xf numFmtId="4" fontId="26" fillId="6" borderId="81" xfId="32" applyNumberFormat="1" applyFill="1" applyBorder="1" applyAlignment="1">
      <alignment horizontal="center"/>
    </xf>
    <xf numFmtId="49" fontId="26" fillId="0" borderId="0" xfId="32" applyNumberFormat="1" applyBorder="1" applyAlignment="1">
      <alignment vertical="center" wrapText="1"/>
    </xf>
    <xf numFmtId="49" fontId="26" fillId="0" borderId="0" xfId="32" applyNumberFormat="1" applyBorder="1" applyAlignment="1">
      <alignment horizontal="left" vertical="center" wrapText="1"/>
    </xf>
    <xf numFmtId="0" fontId="26" fillId="0" borderId="0" xfId="32" applyBorder="1"/>
    <xf numFmtId="4" fontId="26" fillId="0" borderId="0" xfId="32" applyNumberFormat="1" applyBorder="1"/>
    <xf numFmtId="4" fontId="26" fillId="0" borderId="0" xfId="32" applyNumberFormat="1"/>
    <xf numFmtId="0" fontId="11" fillId="9" borderId="0" xfId="32" applyFont="1" applyFill="1" applyBorder="1" applyAlignment="1">
      <alignment horizontal="center" vertical="center" wrapText="1"/>
    </xf>
    <xf numFmtId="0" fontId="10" fillId="9" borderId="31" xfId="32" applyFont="1" applyFill="1" applyBorder="1" applyAlignment="1">
      <alignment wrapText="1"/>
    </xf>
    <xf numFmtId="0" fontId="26" fillId="0" borderId="1" xfId="32" applyBorder="1"/>
    <xf numFmtId="9" fontId="26" fillId="0" borderId="0" xfId="32" applyNumberFormat="1"/>
    <xf numFmtId="0" fontId="11" fillId="10" borderId="32" xfId="32" applyFont="1" applyFill="1" applyBorder="1" applyAlignment="1">
      <alignment wrapText="1"/>
    </xf>
    <xf numFmtId="0" fontId="26" fillId="30" borderId="1" xfId="32" applyFill="1" applyBorder="1"/>
    <xf numFmtId="9" fontId="26" fillId="30" borderId="1" xfId="32" applyNumberFormat="1" applyFill="1" applyBorder="1"/>
    <xf numFmtId="0" fontId="11" fillId="11" borderId="32" xfId="32" applyFont="1" applyFill="1" applyBorder="1" applyAlignment="1">
      <alignment wrapText="1"/>
    </xf>
    <xf numFmtId="0" fontId="26" fillId="4" borderId="1" xfId="32" applyFill="1" applyBorder="1"/>
    <xf numFmtId="9" fontId="26" fillId="4" borderId="1" xfId="32" applyNumberFormat="1" applyFill="1" applyBorder="1"/>
    <xf numFmtId="0" fontId="90" fillId="0" borderId="0" xfId="32" applyFont="1"/>
    <xf numFmtId="0" fontId="9" fillId="0" borderId="1" xfId="32" applyFont="1" applyBorder="1" applyAlignment="1">
      <alignment wrapText="1"/>
    </xf>
    <xf numFmtId="0" fontId="9" fillId="0" borderId="1" xfId="32" applyFont="1" applyBorder="1" applyAlignment="1">
      <alignment horizontal="center"/>
    </xf>
    <xf numFmtId="43" fontId="64" fillId="0" borderId="1" xfId="41" applyFont="1" applyBorder="1"/>
    <xf numFmtId="0" fontId="64" fillId="0" borderId="1" xfId="32" applyFont="1" applyBorder="1" applyAlignment="1">
      <alignment horizontal="center"/>
    </xf>
    <xf numFmtId="4" fontId="64" fillId="0" borderId="1" xfId="32" applyNumberFormat="1" applyFont="1" applyBorder="1"/>
    <xf numFmtId="43" fontId="64" fillId="0" borderId="1" xfId="32" applyNumberFormat="1" applyFont="1" applyBorder="1"/>
    <xf numFmtId="3" fontId="64" fillId="0" borderId="1" xfId="32" applyNumberFormat="1" applyFont="1" applyBorder="1" applyAlignment="1">
      <alignment horizontal="center"/>
    </xf>
    <xf numFmtId="9" fontId="64" fillId="0" borderId="1" xfId="32" applyNumberFormat="1" applyFont="1" applyBorder="1" applyAlignment="1">
      <alignment horizontal="center"/>
    </xf>
    <xf numFmtId="49" fontId="1" fillId="0" borderId="91" xfId="0" applyNumberFormat="1" applyFont="1" applyFill="1" applyBorder="1"/>
    <xf numFmtId="4" fontId="0" fillId="0" borderId="65" xfId="0" applyNumberFormat="1" applyFill="1" applyBorder="1"/>
    <xf numFmtId="4" fontId="0" fillId="0" borderId="84" xfId="0" applyNumberFormat="1" applyFill="1" applyBorder="1"/>
    <xf numFmtId="4" fontId="0" fillId="0" borderId="92" xfId="0" applyNumberFormat="1" applyFill="1" applyBorder="1"/>
    <xf numFmtId="0" fontId="1" fillId="0" borderId="14" xfId="0" applyFont="1" applyFill="1" applyBorder="1" applyAlignment="1">
      <alignment wrapText="1"/>
    </xf>
    <xf numFmtId="0" fontId="1" fillId="0" borderId="22" xfId="0" applyFont="1" applyBorder="1" applyAlignment="1">
      <alignment horizontal="center"/>
    </xf>
    <xf numFmtId="4" fontId="0" fillId="17" borderId="8" xfId="0" applyNumberFormat="1" applyFill="1" applyBorder="1"/>
    <xf numFmtId="4" fontId="0" fillId="17" borderId="9" xfId="0" applyNumberFormat="1" applyFill="1" applyBorder="1"/>
    <xf numFmtId="4" fontId="0" fillId="0" borderId="16" xfId="0" applyNumberFormat="1" applyFill="1" applyBorder="1"/>
    <xf numFmtId="0" fontId="1" fillId="0" borderId="20" xfId="32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0" fontId="1" fillId="0" borderId="5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4" xfId="0" applyBorder="1" applyAlignment="1">
      <alignment horizontal="center"/>
    </xf>
    <xf numFmtId="49" fontId="1" fillId="0" borderId="67" xfId="0" applyNumberFormat="1" applyFont="1" applyBorder="1" applyAlignment="1">
      <alignment horizontal="left"/>
    </xf>
    <xf numFmtId="0" fontId="1" fillId="0" borderId="68" xfId="0" applyFont="1" applyBorder="1"/>
    <xf numFmtId="0" fontId="0" fillId="0" borderId="68" xfId="0" applyBorder="1"/>
    <xf numFmtId="4" fontId="1" fillId="0" borderId="68" xfId="0" applyNumberFormat="1" applyFont="1" applyBorder="1"/>
    <xf numFmtId="0" fontId="0" fillId="0" borderId="71" xfId="0" applyBorder="1"/>
    <xf numFmtId="49" fontId="1" fillId="0" borderId="89" xfId="0" applyNumberFormat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0" borderId="89" xfId="0" applyFont="1" applyBorder="1" applyAlignment="1">
      <alignment horizontal="left"/>
    </xf>
    <xf numFmtId="49" fontId="0" fillId="0" borderId="89" xfId="0" applyNumberFormat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0" fillId="0" borderId="90" xfId="0" applyBorder="1" applyAlignment="1">
      <alignment wrapText="1"/>
    </xf>
    <xf numFmtId="0" fontId="0" fillId="0" borderId="0" xfId="0" applyAlignment="1">
      <alignment wrapText="1"/>
    </xf>
    <xf numFmtId="4" fontId="1" fillId="0" borderId="1" xfId="0" applyNumberFormat="1" applyFont="1" applyBorder="1" applyAlignment="1">
      <alignment horizontal="right"/>
    </xf>
    <xf numFmtId="43" fontId="0" fillId="0" borderId="1" xfId="0" applyNumberFormat="1" applyBorder="1" applyAlignment="1"/>
    <xf numFmtId="0" fontId="0" fillId="0" borderId="72" xfId="0" applyBorder="1"/>
    <xf numFmtId="0" fontId="1" fillId="0" borderId="29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3" fontId="1" fillId="0" borderId="68" xfId="0" applyNumberFormat="1" applyFont="1" applyBorder="1"/>
    <xf numFmtId="43" fontId="1" fillId="0" borderId="1" xfId="0" applyNumberFormat="1" applyFont="1" applyBorder="1"/>
    <xf numFmtId="0" fontId="26" fillId="0" borderId="0" xfId="32" applyFill="1" applyBorder="1"/>
    <xf numFmtId="0" fontId="1" fillId="0" borderId="0" xfId="32" applyFont="1" applyFill="1" applyBorder="1"/>
    <xf numFmtId="0" fontId="1" fillId="0" borderId="0" xfId="32" applyFont="1" applyFill="1" applyBorder="1" applyAlignment="1">
      <alignment horizontal="center"/>
    </xf>
    <xf numFmtId="10" fontId="26" fillId="0" borderId="1" xfId="32" applyNumberFormat="1" applyBorder="1"/>
    <xf numFmtId="10" fontId="26" fillId="0" borderId="0" xfId="32" applyNumberFormat="1" applyBorder="1"/>
    <xf numFmtId="0" fontId="1" fillId="17" borderId="4" xfId="32" applyFont="1" applyFill="1" applyBorder="1" applyAlignment="1">
      <alignment horizontal="center" vertical="center" wrapText="1"/>
    </xf>
    <xf numFmtId="0" fontId="26" fillId="0" borderId="23" xfId="32" applyBorder="1" applyAlignment="1">
      <alignment horizontal="center" vertical="center" wrapText="1"/>
    </xf>
    <xf numFmtId="0" fontId="26" fillId="0" borderId="87" xfId="32" applyBorder="1" applyAlignment="1">
      <alignment horizontal="center" vertical="center" wrapText="1"/>
    </xf>
    <xf numFmtId="0" fontId="26" fillId="0" borderId="3" xfId="32" applyBorder="1" applyAlignment="1">
      <alignment horizontal="center" vertical="center" wrapText="1"/>
    </xf>
    <xf numFmtId="0" fontId="26" fillId="0" borderId="3" xfId="32" applyBorder="1" applyAlignment="1">
      <alignment horizontal="center"/>
    </xf>
    <xf numFmtId="0" fontId="26" fillId="0" borderId="23" xfId="32" applyBorder="1" applyAlignment="1">
      <alignment horizontal="center"/>
    </xf>
    <xf numFmtId="0" fontId="26" fillId="0" borderId="88" xfId="32" applyFill="1" applyBorder="1" applyAlignment="1">
      <alignment horizontal="center" vertical="center" wrapText="1"/>
    </xf>
    <xf numFmtId="0" fontId="1" fillId="2" borderId="23" xfId="32" applyFont="1" applyFill="1" applyBorder="1" applyAlignment="1">
      <alignment horizontal="center" vertical="center" wrapText="1"/>
    </xf>
    <xf numFmtId="0" fontId="1" fillId="2" borderId="87" xfId="32" applyFont="1" applyFill="1" applyBorder="1" applyAlignment="1">
      <alignment horizontal="center" vertical="center" wrapText="1"/>
    </xf>
    <xf numFmtId="0" fontId="1" fillId="2" borderId="3" xfId="32" applyFont="1" applyFill="1" applyBorder="1" applyAlignment="1">
      <alignment horizontal="center" vertical="center" wrapText="1"/>
    </xf>
    <xf numFmtId="0" fontId="1" fillId="2" borderId="3" xfId="32" applyFont="1" applyFill="1" applyBorder="1" applyAlignment="1">
      <alignment horizontal="center"/>
    </xf>
    <xf numFmtId="0" fontId="1" fillId="2" borderId="23" xfId="32" applyFont="1" applyFill="1" applyBorder="1" applyAlignment="1">
      <alignment horizontal="center"/>
    </xf>
    <xf numFmtId="0" fontId="1" fillId="2" borderId="87" xfId="32" applyFont="1" applyFill="1" applyBorder="1" applyAlignment="1">
      <alignment horizontal="center"/>
    </xf>
    <xf numFmtId="0" fontId="1" fillId="2" borderId="88" xfId="32" applyFont="1" applyFill="1" applyBorder="1" applyAlignment="1">
      <alignment horizontal="center" vertical="center" wrapText="1"/>
    </xf>
    <xf numFmtId="49" fontId="26" fillId="0" borderId="24" xfId="32" applyNumberFormat="1" applyFill="1" applyBorder="1" applyAlignment="1">
      <alignment vertical="center" wrapText="1"/>
    </xf>
    <xf numFmtId="0" fontId="26" fillId="0" borderId="89" xfId="32" applyFont="1" applyFill="1" applyBorder="1" applyAlignment="1">
      <alignment horizontal="left" vertical="center" wrapText="1"/>
    </xf>
    <xf numFmtId="0" fontId="26" fillId="0" borderId="1" xfId="32" applyFont="1" applyFill="1" applyBorder="1" applyAlignment="1">
      <alignment horizontal="center" vertical="center" wrapText="1"/>
    </xf>
    <xf numFmtId="4" fontId="26" fillId="0" borderId="1" xfId="32" applyNumberFormat="1" applyFont="1" applyFill="1" applyBorder="1" applyAlignment="1">
      <alignment vertical="center" wrapText="1"/>
    </xf>
    <xf numFmtId="4" fontId="26" fillId="33" borderId="1" xfId="32" applyNumberFormat="1" applyFont="1" applyFill="1" applyBorder="1" applyAlignment="1">
      <alignment vertical="center" wrapText="1"/>
    </xf>
    <xf numFmtId="4" fontId="26" fillId="0" borderId="24" xfId="32" applyNumberFormat="1" applyFont="1" applyFill="1" applyBorder="1" applyAlignment="1">
      <alignment vertical="center" wrapText="1"/>
    </xf>
    <xf numFmtId="4" fontId="26" fillId="0" borderId="89" xfId="32" applyNumberFormat="1" applyFont="1" applyFill="1" applyBorder="1" applyAlignment="1">
      <alignment vertical="center" wrapText="1"/>
    </xf>
    <xf numFmtId="4" fontId="26" fillId="0" borderId="90" xfId="32" applyNumberFormat="1" applyFont="1" applyBorder="1" applyAlignment="1">
      <alignment vertical="center" wrapText="1"/>
    </xf>
    <xf numFmtId="49" fontId="26" fillId="0" borderId="24" xfId="32" applyNumberFormat="1" applyFill="1" applyBorder="1" applyAlignment="1">
      <alignment horizontal="left" vertical="center" wrapText="1"/>
    </xf>
    <xf numFmtId="0" fontId="26" fillId="0" borderId="89" xfId="32" applyFont="1" applyBorder="1" applyAlignment="1">
      <alignment horizontal="left" vertical="center" wrapText="1"/>
    </xf>
    <xf numFmtId="4" fontId="26" fillId="0" borderId="1" xfId="32" applyNumberFormat="1" applyFont="1" applyFill="1" applyBorder="1"/>
    <xf numFmtId="4" fontId="26" fillId="33" borderId="1" xfId="32" applyNumberFormat="1" applyFont="1" applyFill="1" applyBorder="1"/>
    <xf numFmtId="4" fontId="26" fillId="0" borderId="90" xfId="32" applyNumberFormat="1" applyFont="1" applyFill="1" applyBorder="1"/>
    <xf numFmtId="4" fontId="26" fillId="0" borderId="2" xfId="32" applyNumberFormat="1" applyFont="1" applyFill="1" applyBorder="1"/>
    <xf numFmtId="4" fontId="26" fillId="33" borderId="2" xfId="32" applyNumberFormat="1" applyFont="1" applyFill="1" applyBorder="1"/>
    <xf numFmtId="4" fontId="26" fillId="0" borderId="91" xfId="32" applyNumberFormat="1" applyFont="1" applyFill="1" applyBorder="1" applyAlignment="1">
      <alignment vertical="center" wrapText="1"/>
    </xf>
    <xf numFmtId="4" fontId="26" fillId="0" borderId="92" xfId="32" applyNumberFormat="1" applyFont="1" applyFill="1" applyBorder="1"/>
    <xf numFmtId="0" fontId="26" fillId="0" borderId="89" xfId="32" applyFont="1" applyFill="1" applyBorder="1" applyAlignment="1">
      <alignment horizontal="left" wrapText="1"/>
    </xf>
    <xf numFmtId="0" fontId="26" fillId="16" borderId="89" xfId="32" applyFont="1" applyFill="1" applyBorder="1" applyAlignment="1">
      <alignment horizontal="left" vertical="center" wrapText="1"/>
    </xf>
    <xf numFmtId="4" fontId="26" fillId="16" borderId="1" xfId="32" applyNumberFormat="1" applyFont="1" applyFill="1" applyBorder="1" applyAlignment="1">
      <alignment vertical="center" wrapText="1"/>
    </xf>
    <xf numFmtId="0" fontId="26" fillId="6" borderId="89" xfId="32" applyFont="1" applyFill="1" applyBorder="1" applyAlignment="1">
      <alignment horizontal="left" vertical="center" wrapText="1"/>
    </xf>
    <xf numFmtId="0" fontId="26" fillId="6" borderId="1" xfId="32" applyFont="1" applyFill="1" applyBorder="1" applyAlignment="1">
      <alignment horizontal="center" vertical="center" wrapText="1"/>
    </xf>
    <xf numFmtId="49" fontId="26" fillId="6" borderId="24" xfId="32" applyNumberFormat="1" applyFill="1" applyBorder="1" applyAlignment="1">
      <alignment vertical="center" wrapText="1"/>
    </xf>
    <xf numFmtId="4" fontId="26" fillId="0" borderId="24" xfId="32" applyNumberFormat="1" applyFont="1" applyFill="1" applyBorder="1"/>
    <xf numFmtId="4" fontId="26" fillId="0" borderId="89" xfId="32" applyNumberFormat="1" applyFont="1" applyFill="1" applyBorder="1"/>
    <xf numFmtId="0" fontId="26" fillId="6" borderId="28" xfId="32" applyFill="1" applyBorder="1"/>
    <xf numFmtId="0" fontId="26" fillId="6" borderId="58" xfId="32" applyFill="1" applyBorder="1" applyAlignment="1">
      <alignment vertical="center" wrapText="1"/>
    </xf>
    <xf numFmtId="0" fontId="26" fillId="6" borderId="51" xfId="32" applyFill="1" applyBorder="1"/>
    <xf numFmtId="4" fontId="26" fillId="6" borderId="51" xfId="32" applyNumberFormat="1" applyFill="1" applyBorder="1"/>
    <xf numFmtId="4" fontId="26" fillId="6" borderId="78" xfId="32" applyNumberFormat="1" applyFill="1" applyBorder="1"/>
    <xf numFmtId="4" fontId="26" fillId="6" borderId="93" xfId="32" applyNumberFormat="1" applyFill="1" applyBorder="1"/>
    <xf numFmtId="43" fontId="0" fillId="0" borderId="0" xfId="41" applyFont="1"/>
    <xf numFmtId="0" fontId="26" fillId="6" borderId="0" xfId="32" applyFill="1"/>
    <xf numFmtId="3" fontId="26" fillId="0" borderId="0" xfId="32" applyNumberFormat="1"/>
    <xf numFmtId="4" fontId="26" fillId="27" borderId="1" xfId="32" applyNumberFormat="1" applyFill="1" applyBorder="1"/>
    <xf numFmtId="3" fontId="26" fillId="30" borderId="1" xfId="32" applyNumberFormat="1" applyFill="1" applyBorder="1"/>
    <xf numFmtId="169" fontId="0" fillId="30" borderId="0" xfId="33" applyNumberFormat="1" applyFont="1" applyFill="1"/>
    <xf numFmtId="4" fontId="26" fillId="0" borderId="1" xfId="32" applyNumberFormat="1" applyBorder="1"/>
    <xf numFmtId="3" fontId="26" fillId="4" borderId="1" xfId="32" applyNumberFormat="1" applyFill="1" applyBorder="1"/>
    <xf numFmtId="4" fontId="26" fillId="6" borderId="1" xfId="32" applyNumberFormat="1" applyFont="1" applyFill="1" applyBorder="1" applyAlignment="1">
      <alignment vertical="center" wrapText="1"/>
    </xf>
    <xf numFmtId="0" fontId="38" fillId="0" borderId="0" xfId="3" applyFont="1" applyBorder="1"/>
    <xf numFmtId="4" fontId="38" fillId="0" borderId="0" xfId="3" applyNumberFormat="1" applyFont="1" applyBorder="1" applyAlignment="1">
      <alignment horizontal="right"/>
    </xf>
    <xf numFmtId="0" fontId="33" fillId="0" borderId="0" xfId="0" applyFont="1"/>
    <xf numFmtId="0" fontId="34" fillId="0" borderId="0" xfId="0" applyFont="1" applyAlignment="1">
      <alignment horizontal="right"/>
    </xf>
    <xf numFmtId="0" fontId="34" fillId="18" borderId="1" xfId="0" applyFont="1" applyFill="1" applyBorder="1"/>
    <xf numFmtId="4" fontId="34" fillId="18" borderId="1" xfId="0" applyNumberFormat="1" applyFont="1" applyFill="1" applyBorder="1"/>
    <xf numFmtId="0" fontId="26" fillId="35" borderId="1" xfId="32" applyFont="1" applyFill="1" applyBorder="1" applyAlignment="1">
      <alignment horizontal="center" vertical="center" wrapText="1"/>
    </xf>
    <xf numFmtId="4" fontId="26" fillId="35" borderId="2" xfId="32" applyNumberFormat="1" applyFont="1" applyFill="1" applyBorder="1"/>
    <xf numFmtId="4" fontId="26" fillId="35" borderId="1" xfId="32" applyNumberFormat="1" applyFont="1" applyFill="1" applyBorder="1" applyAlignment="1">
      <alignment vertical="center" wrapText="1"/>
    </xf>
    <xf numFmtId="4" fontId="26" fillId="35" borderId="24" xfId="32" applyNumberFormat="1" applyFont="1" applyFill="1" applyBorder="1" applyAlignment="1">
      <alignment vertical="center" wrapText="1"/>
    </xf>
    <xf numFmtId="0" fontId="0" fillId="35" borderId="89" xfId="32" applyFont="1" applyFill="1" applyBorder="1" applyAlignment="1">
      <alignment horizontal="left" vertical="center" wrapText="1"/>
    </xf>
    <xf numFmtId="0" fontId="0" fillId="0" borderId="89" xfId="32" applyFont="1" applyFill="1" applyBorder="1" applyAlignment="1">
      <alignment horizontal="left" vertical="center" wrapText="1"/>
    </xf>
    <xf numFmtId="49" fontId="0" fillId="0" borderId="24" xfId="32" applyNumberFormat="1" applyFont="1" applyFill="1" applyBorder="1" applyAlignment="1">
      <alignment vertical="center" wrapText="1"/>
    </xf>
    <xf numFmtId="0" fontId="0" fillId="16" borderId="89" xfId="32" applyFont="1" applyFill="1" applyBorder="1" applyAlignment="1">
      <alignment horizontal="left" vertical="center" wrapText="1"/>
    </xf>
    <xf numFmtId="0" fontId="1" fillId="30" borderId="1" xfId="0" applyFont="1" applyFill="1" applyBorder="1" applyAlignment="1">
      <alignment wrapText="1"/>
    </xf>
    <xf numFmtId="0" fontId="0" fillId="30" borderId="1" xfId="0" applyFill="1" applyBorder="1"/>
    <xf numFmtId="0" fontId="1" fillId="30" borderId="1" xfId="0" applyFont="1" applyFill="1" applyBorder="1"/>
    <xf numFmtId="43" fontId="0" fillId="30" borderId="1" xfId="1" applyFont="1" applyFill="1" applyBorder="1"/>
    <xf numFmtId="43" fontId="1" fillId="30" borderId="1" xfId="1" applyFont="1" applyFill="1" applyBorder="1"/>
    <xf numFmtId="43" fontId="1" fillId="36" borderId="1" xfId="1" applyFont="1" applyFill="1" applyBorder="1"/>
    <xf numFmtId="43" fontId="0" fillId="0" borderId="1" xfId="1" applyFont="1" applyBorder="1" applyAlignment="1">
      <alignment horizontal="center"/>
    </xf>
    <xf numFmtId="43" fontId="0" fillId="36" borderId="1" xfId="1" applyFont="1" applyFill="1" applyBorder="1" applyAlignment="1">
      <alignment horizontal="center"/>
    </xf>
    <xf numFmtId="4" fontId="1" fillId="36" borderId="1" xfId="0" applyNumberFormat="1" applyFont="1" applyFill="1" applyBorder="1"/>
    <xf numFmtId="0" fontId="1" fillId="0" borderId="10" xfId="0" applyFont="1" applyBorder="1" applyAlignment="1">
      <alignment horizontal="center"/>
    </xf>
    <xf numFmtId="4" fontId="34" fillId="0" borderId="1" xfId="3" applyNumberFormat="1" applyFont="1" applyBorder="1" applyAlignment="1">
      <alignment horizontal="center"/>
    </xf>
    <xf numFmtId="4" fontId="34" fillId="0" borderId="24" xfId="3" applyNumberFormat="1" applyFont="1" applyBorder="1" applyAlignment="1">
      <alignment horizontal="center"/>
    </xf>
    <xf numFmtId="4" fontId="34" fillId="0" borderId="1" xfId="3" applyNumberFormat="1" applyFont="1" applyBorder="1" applyAlignment="1"/>
    <xf numFmtId="0" fontId="39" fillId="0" borderId="1" xfId="3" applyFont="1" applyBorder="1" applyAlignment="1">
      <alignment horizontal="center" vertical="center" wrapText="1"/>
    </xf>
    <xf numFmtId="0" fontId="102" fillId="0" borderId="1" xfId="3" applyFont="1" applyBorder="1" applyAlignment="1">
      <alignment horizontal="center" vertical="center" wrapText="1"/>
    </xf>
    <xf numFmtId="4" fontId="87" fillId="0" borderId="1" xfId="3" applyNumberFormat="1" applyFont="1" applyBorder="1" applyAlignment="1"/>
    <xf numFmtId="0" fontId="103" fillId="0" borderId="89" xfId="3" applyFont="1" applyBorder="1" applyAlignment="1">
      <alignment wrapText="1"/>
    </xf>
    <xf numFmtId="0" fontId="104" fillId="0" borderId="1" xfId="3" applyFont="1" applyBorder="1" applyAlignment="1">
      <alignment vertical="center" wrapText="1"/>
    </xf>
    <xf numFmtId="4" fontId="104" fillId="0" borderId="1" xfId="3" applyNumberFormat="1" applyFont="1" applyBorder="1" applyAlignment="1"/>
    <xf numFmtId="4" fontId="104" fillId="0" borderId="24" xfId="3" applyNumberFormat="1" applyFont="1" applyBorder="1" applyAlignment="1"/>
    <xf numFmtId="4" fontId="104" fillId="0" borderId="90" xfId="3" applyNumberFormat="1" applyFont="1" applyBorder="1" applyAlignment="1"/>
    <xf numFmtId="0" fontId="38" fillId="0" borderId="1" xfId="3" applyFont="1" applyBorder="1"/>
    <xf numFmtId="43" fontId="103" fillId="0" borderId="89" xfId="1" applyFont="1" applyBorder="1" applyAlignment="1">
      <alignment wrapText="1"/>
    </xf>
    <xf numFmtId="0" fontId="105" fillId="0" borderId="89" xfId="3" applyFont="1" applyBorder="1" applyAlignment="1">
      <alignment wrapText="1"/>
    </xf>
    <xf numFmtId="0" fontId="38" fillId="6" borderId="58" xfId="3" applyFont="1" applyFill="1" applyBorder="1"/>
    <xf numFmtId="0" fontId="38" fillId="6" borderId="1" xfId="3" applyFont="1" applyFill="1" applyBorder="1"/>
    <xf numFmtId="4" fontId="38" fillId="6" borderId="1" xfId="3" applyNumberFormat="1" applyFont="1" applyFill="1" applyBorder="1" applyAlignment="1">
      <alignment horizontal="right"/>
    </xf>
    <xf numFmtId="0" fontId="38" fillId="6" borderId="51" xfId="3" applyFont="1" applyFill="1" applyBorder="1"/>
    <xf numFmtId="4" fontId="38" fillId="6" borderId="51" xfId="3" applyNumberFormat="1" applyFont="1" applyFill="1" applyBorder="1" applyAlignment="1">
      <alignment horizontal="right"/>
    </xf>
    <xf numFmtId="4" fontId="38" fillId="6" borderId="93" xfId="3" applyNumberFormat="1" applyFont="1" applyFill="1" applyBorder="1" applyAlignment="1">
      <alignment horizontal="right"/>
    </xf>
    <xf numFmtId="4" fontId="0" fillId="7" borderId="3" xfId="0" applyNumberFormat="1" applyFill="1" applyBorder="1"/>
    <xf numFmtId="4" fontId="0" fillId="7" borderId="1" xfId="0" applyNumberFormat="1" applyFill="1" applyBorder="1"/>
    <xf numFmtId="4" fontId="0" fillId="7" borderId="2" xfId="0" applyNumberFormat="1" applyFill="1" applyBorder="1"/>
    <xf numFmtId="0" fontId="1" fillId="7" borderId="13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" fillId="0" borderId="77" xfId="0" applyFont="1" applyBorder="1" applyAlignment="1">
      <alignment horizontal="center"/>
    </xf>
    <xf numFmtId="0" fontId="1" fillId="0" borderId="77" xfId="0" applyFont="1" applyBorder="1" applyAlignment="1">
      <alignment horizontal="center" wrapText="1"/>
    </xf>
    <xf numFmtId="169" fontId="0" fillId="4" borderId="82" xfId="33" applyNumberFormat="1" applyFont="1" applyFill="1" applyBorder="1"/>
    <xf numFmtId="0" fontId="26" fillId="6" borderId="1" xfId="32" applyFill="1" applyBorder="1"/>
    <xf numFmtId="0" fontId="1" fillId="0" borderId="1" xfId="32" applyFont="1" applyBorder="1" applyAlignment="1">
      <alignment horizontal="center" vertical="center" wrapText="1"/>
    </xf>
    <xf numFmtId="0" fontId="1" fillId="17" borderId="1" xfId="32" applyFont="1" applyFill="1" applyBorder="1" applyAlignment="1">
      <alignment horizontal="center" vertical="center" wrapText="1"/>
    </xf>
    <xf numFmtId="0" fontId="10" fillId="9" borderId="1" xfId="32" applyFont="1" applyFill="1" applyBorder="1" applyAlignment="1">
      <alignment wrapText="1"/>
    </xf>
    <xf numFmtId="0" fontId="11" fillId="10" borderId="1" xfId="32" applyFont="1" applyFill="1" applyBorder="1" applyAlignment="1">
      <alignment wrapText="1"/>
    </xf>
    <xf numFmtId="0" fontId="11" fillId="11" borderId="1" xfId="32" applyFont="1" applyFill="1" applyBorder="1" applyAlignment="1">
      <alignment wrapText="1"/>
    </xf>
    <xf numFmtId="4" fontId="1" fillId="0" borderId="0" xfId="0" applyNumberFormat="1" applyFont="1" applyFill="1" applyBorder="1"/>
    <xf numFmtId="0" fontId="0" fillId="6" borderId="24" xfId="0" applyFill="1" applyBorder="1" applyAlignment="1">
      <alignment horizontal="right"/>
    </xf>
    <xf numFmtId="0" fontId="0" fillId="6" borderId="82" xfId="0" applyFill="1" applyBorder="1" applyAlignment="1">
      <alignment horizontal="right"/>
    </xf>
    <xf numFmtId="0" fontId="15" fillId="0" borderId="82" xfId="0" applyFont="1" applyBorder="1" applyAlignment="1">
      <alignment horizontal="right" wrapText="1"/>
    </xf>
    <xf numFmtId="43" fontId="0" fillId="0" borderId="18" xfId="1" applyFont="1" applyBorder="1" applyAlignment="1"/>
    <xf numFmtId="10" fontId="0" fillId="0" borderId="1" xfId="0" applyNumberFormat="1" applyBorder="1" applyAlignment="1">
      <alignment horizontal="right"/>
    </xf>
    <xf numFmtId="43" fontId="0" fillId="0" borderId="1" xfId="1" applyFont="1" applyBorder="1" applyAlignment="1"/>
    <xf numFmtId="4" fontId="103" fillId="0" borderId="89" xfId="3" applyNumberFormat="1" applyFont="1" applyBorder="1" applyAlignment="1">
      <alignment wrapText="1"/>
    </xf>
    <xf numFmtId="4" fontId="34" fillId="0" borderId="1" xfId="3" applyNumberFormat="1" applyFont="1" applyBorder="1" applyAlignment="1"/>
    <xf numFmtId="0" fontId="15" fillId="0" borderId="1" xfId="0" applyFont="1" applyBorder="1" applyAlignment="1">
      <alignment horizontal="left" wrapText="1"/>
    </xf>
    <xf numFmtId="0" fontId="106" fillId="0" borderId="0" xfId="0" applyFont="1"/>
    <xf numFmtId="43" fontId="6" fillId="0" borderId="0" xfId="0" applyNumberFormat="1" applyFont="1"/>
    <xf numFmtId="2" fontId="0" fillId="0" borderId="0" xfId="0" applyNumberFormat="1"/>
    <xf numFmtId="43" fontId="106" fillId="0" borderId="0" xfId="0" applyNumberFormat="1" applyFont="1" applyAlignment="1">
      <alignment horizontal="right"/>
    </xf>
    <xf numFmtId="0" fontId="106" fillId="0" borderId="0" xfId="32" applyFont="1"/>
    <xf numFmtId="0" fontId="17" fillId="0" borderId="1" xfId="0" applyFont="1" applyBorder="1" applyAlignment="1">
      <alignment horizontal="right" wrapText="1"/>
    </xf>
    <xf numFmtId="177" fontId="0" fillId="0" borderId="1" xfId="0" applyNumberFormat="1" applyBorder="1"/>
    <xf numFmtId="0" fontId="0" fillId="0" borderId="0" xfId="0" applyFont="1"/>
    <xf numFmtId="0" fontId="107" fillId="0" borderId="0" xfId="0" applyFont="1" applyBorder="1" applyAlignment="1">
      <alignment horizontal="center"/>
    </xf>
    <xf numFmtId="1" fontId="0" fillId="0" borderId="1" xfId="0" applyNumberFormat="1" applyBorder="1"/>
    <xf numFmtId="49" fontId="1" fillId="6" borderId="58" xfId="0" applyNumberFormat="1" applyFont="1" applyFill="1" applyBorder="1" applyAlignment="1">
      <alignment horizontal="center" vertical="center" wrapText="1"/>
    </xf>
    <xf numFmtId="49" fontId="1" fillId="6" borderId="58" xfId="0" applyNumberFormat="1" applyFont="1" applyFill="1" applyBorder="1" applyAlignment="1">
      <alignment horizontal="center" vertical="center" wrapText="1"/>
    </xf>
    <xf numFmtId="49" fontId="1" fillId="7" borderId="20" xfId="0" applyNumberFormat="1" applyFont="1" applyFill="1" applyBorder="1" applyAlignment="1">
      <alignment horizontal="center" vertical="center" wrapText="1"/>
    </xf>
    <xf numFmtId="43" fontId="108" fillId="0" borderId="0" xfId="1" applyFont="1" applyAlignment="1">
      <alignment horizontal="right"/>
    </xf>
    <xf numFmtId="43" fontId="0" fillId="6" borderId="1" xfId="0" applyNumberFormat="1" applyFill="1" applyBorder="1"/>
    <xf numFmtId="4" fontId="0" fillId="13" borderId="1" xfId="0" applyNumberFormat="1" applyFill="1" applyBorder="1" applyAlignment="1">
      <alignment horizontal="right"/>
    </xf>
    <xf numFmtId="0" fontId="0" fillId="13" borderId="1" xfId="0" applyFill="1" applyBorder="1" applyAlignment="1">
      <alignment wrapText="1"/>
    </xf>
    <xf numFmtId="0" fontId="13" fillId="7" borderId="15" xfId="0" applyFont="1" applyFill="1" applyBorder="1" applyAlignment="1">
      <alignment vertical="center" wrapText="1"/>
    </xf>
    <xf numFmtId="0" fontId="13" fillId="7" borderId="2" xfId="0" applyFont="1" applyFill="1" applyBorder="1" applyAlignment="1">
      <alignment vertical="center" wrapText="1"/>
    </xf>
    <xf numFmtId="0" fontId="13" fillId="7" borderId="43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wrapText="1"/>
    </xf>
    <xf numFmtId="4" fontId="38" fillId="6" borderId="1" xfId="0" applyNumberFormat="1" applyFont="1" applyFill="1" applyBorder="1"/>
    <xf numFmtId="0" fontId="34" fillId="6" borderId="1" xfId="0" applyFont="1" applyFill="1" applyBorder="1" applyAlignment="1">
      <alignment wrapText="1"/>
    </xf>
    <xf numFmtId="0" fontId="38" fillId="17" borderId="1" xfId="0" applyFont="1" applyFill="1" applyBorder="1" applyAlignment="1">
      <alignment wrapText="1"/>
    </xf>
    <xf numFmtId="0" fontId="3" fillId="0" borderId="67" xfId="3" applyFont="1" applyBorder="1"/>
    <xf numFmtId="0" fontId="3" fillId="0" borderId="68" xfId="3" applyFont="1" applyBorder="1" applyAlignment="1">
      <alignment horizontal="center"/>
    </xf>
    <xf numFmtId="0" fontId="3" fillId="0" borderId="71" xfId="3" applyFont="1" applyBorder="1" applyAlignment="1">
      <alignment horizontal="center"/>
    </xf>
    <xf numFmtId="0" fontId="109" fillId="0" borderId="89" xfId="3" applyFont="1" applyBorder="1"/>
    <xf numFmtId="0" fontId="109" fillId="0" borderId="1" xfId="3" applyFont="1" applyBorder="1" applyAlignment="1">
      <alignment horizontal="center" wrapText="1"/>
    </xf>
    <xf numFmtId="0" fontId="109" fillId="0" borderId="90" xfId="3" applyFont="1" applyBorder="1" applyAlignment="1">
      <alignment horizontal="center" wrapText="1"/>
    </xf>
    <xf numFmtId="0" fontId="111" fillId="0" borderId="89" xfId="42" applyNumberFormat="1" applyFont="1" applyFill="1" applyBorder="1" applyAlignment="1" applyProtection="1">
      <alignment vertical="center" wrapText="1" shrinkToFit="1"/>
    </xf>
    <xf numFmtId="4" fontId="109" fillId="0" borderId="1" xfId="3" applyNumberFormat="1" applyFont="1" applyBorder="1"/>
    <xf numFmtId="9" fontId="109" fillId="0" borderId="90" xfId="3" applyNumberFormat="1" applyFont="1" applyBorder="1"/>
    <xf numFmtId="0" fontId="3" fillId="0" borderId="72" xfId="3" applyFont="1" applyBorder="1"/>
    <xf numFmtId="4" fontId="3" fillId="14" borderId="52" xfId="3" applyNumberFormat="1" applyFont="1" applyFill="1" applyBorder="1"/>
    <xf numFmtId="9" fontId="3" fillId="14" borderId="73" xfId="3" applyNumberFormat="1" applyFont="1" applyFill="1" applyBorder="1"/>
    <xf numFmtId="0" fontId="111" fillId="0" borderId="24" xfId="42" applyNumberFormat="1" applyFont="1" applyFill="1" applyBorder="1" applyAlignment="1" applyProtection="1">
      <alignment vertical="center" wrapText="1" shrinkToFit="1"/>
    </xf>
    <xf numFmtId="9" fontId="29" fillId="0" borderId="82" xfId="3" applyNumberFormat="1" applyBorder="1"/>
    <xf numFmtId="10" fontId="109" fillId="0" borderId="90" xfId="3" applyNumberFormat="1" applyFont="1" applyBorder="1"/>
    <xf numFmtId="10" fontId="3" fillId="14" borderId="52" xfId="3" applyNumberFormat="1" applyFont="1" applyFill="1" applyBorder="1"/>
    <xf numFmtId="0" fontId="38" fillId="0" borderId="0" xfId="3" applyFont="1"/>
    <xf numFmtId="167" fontId="112" fillId="0" borderId="0" xfId="3" applyNumberFormat="1" applyFont="1" applyAlignment="1">
      <alignment vertical="center"/>
    </xf>
    <xf numFmtId="167" fontId="113" fillId="37" borderId="4" xfId="3" applyNumberFormat="1" applyFont="1" applyFill="1" applyBorder="1" applyAlignment="1">
      <alignment horizontal="center" vertical="center"/>
    </xf>
    <xf numFmtId="167" fontId="113" fillId="37" borderId="12" xfId="3" applyNumberFormat="1" applyFont="1" applyFill="1" applyBorder="1" applyAlignment="1">
      <alignment horizontal="center" vertical="center"/>
    </xf>
    <xf numFmtId="0" fontId="42" fillId="0" borderId="11" xfId="3" applyFont="1" applyBorder="1" applyAlignment="1">
      <alignment vertical="center"/>
    </xf>
    <xf numFmtId="0" fontId="42" fillId="0" borderId="27" xfId="3" applyFont="1" applyBorder="1" applyAlignment="1">
      <alignment vertical="center"/>
    </xf>
    <xf numFmtId="0" fontId="73" fillId="0" borderId="0" xfId="3" applyFont="1" applyAlignment="1">
      <alignment vertical="center"/>
    </xf>
    <xf numFmtId="167" fontId="115" fillId="38" borderId="19" xfId="3" applyNumberFormat="1" applyFont="1" applyFill="1" applyBorder="1" applyAlignment="1">
      <alignment horizontal="right" vertical="center"/>
    </xf>
    <xf numFmtId="167" fontId="114" fillId="0" borderId="48" xfId="3" applyNumberFormat="1" applyFont="1" applyBorder="1" applyAlignment="1">
      <alignment horizontal="center" vertical="center"/>
    </xf>
    <xf numFmtId="0" fontId="114" fillId="11" borderId="89" xfId="3" applyFont="1" applyFill="1" applyBorder="1" applyAlignment="1">
      <alignment horizontal="center" vertical="center" wrapText="1"/>
    </xf>
    <xf numFmtId="0" fontId="114" fillId="11" borderId="1" xfId="3" applyFont="1" applyFill="1" applyBorder="1" applyAlignment="1">
      <alignment horizontal="center" vertical="center" wrapText="1"/>
    </xf>
    <xf numFmtId="0" fontId="114" fillId="11" borderId="90" xfId="3" applyFont="1" applyFill="1" applyBorder="1" applyAlignment="1">
      <alignment horizontal="center" vertical="center" wrapText="1"/>
    </xf>
    <xf numFmtId="2" fontId="114" fillId="38" borderId="89" xfId="3" applyNumberFormat="1" applyFont="1" applyFill="1" applyBorder="1" applyAlignment="1">
      <alignment horizontal="center" vertical="center" wrapText="1"/>
    </xf>
    <xf numFmtId="2" fontId="114" fillId="38" borderId="1" xfId="3" applyNumberFormat="1" applyFont="1" applyFill="1" applyBorder="1" applyAlignment="1">
      <alignment horizontal="center" vertical="center" wrapText="1"/>
    </xf>
    <xf numFmtId="2" fontId="114" fillId="38" borderId="90" xfId="3" applyNumberFormat="1" applyFont="1" applyFill="1" applyBorder="1" applyAlignment="1">
      <alignment horizontal="center" vertical="center" wrapText="1"/>
    </xf>
    <xf numFmtId="167" fontId="114" fillId="37" borderId="1" xfId="3" applyNumberFormat="1" applyFont="1" applyFill="1" applyBorder="1" applyAlignment="1">
      <alignment vertical="center" wrapText="1"/>
    </xf>
    <xf numFmtId="167" fontId="114" fillId="37" borderId="30" xfId="3" applyNumberFormat="1" applyFont="1" applyFill="1" applyBorder="1" applyAlignment="1">
      <alignment horizontal="right" vertical="center"/>
    </xf>
    <xf numFmtId="167" fontId="114" fillId="37" borderId="97" xfId="3" applyNumberFormat="1" applyFont="1" applyFill="1" applyBorder="1" applyAlignment="1">
      <alignment horizontal="right" vertical="center"/>
    </xf>
    <xf numFmtId="167" fontId="73" fillId="0" borderId="89" xfId="3" applyNumberFormat="1" applyFont="1" applyBorder="1" applyAlignment="1">
      <alignment horizontal="right" vertical="center"/>
    </xf>
    <xf numFmtId="167" fontId="73" fillId="0" borderId="1" xfId="3" applyNumberFormat="1" applyFont="1" applyBorder="1" applyAlignment="1">
      <alignment horizontal="right" vertical="center"/>
    </xf>
    <xf numFmtId="167" fontId="73" fillId="0" borderId="90" xfId="3" applyNumberFormat="1" applyFont="1" applyBorder="1" applyAlignment="1">
      <alignment horizontal="right" vertical="center"/>
    </xf>
    <xf numFmtId="167" fontId="114" fillId="0" borderId="89" xfId="3" applyNumberFormat="1" applyFont="1" applyBorder="1" applyAlignment="1">
      <alignment horizontal="right" vertical="center"/>
    </xf>
    <xf numFmtId="167" fontId="114" fillId="0" borderId="1" xfId="3" applyNumberFormat="1" applyFont="1" applyBorder="1" applyAlignment="1">
      <alignment horizontal="right" vertical="center"/>
    </xf>
    <xf numFmtId="2" fontId="114" fillId="32" borderId="0" xfId="3" applyNumberFormat="1" applyFont="1" applyFill="1" applyBorder="1" applyAlignment="1">
      <alignment vertical="center" wrapText="1"/>
    </xf>
    <xf numFmtId="167" fontId="114" fillId="0" borderId="0" xfId="3" applyNumberFormat="1" applyFont="1" applyBorder="1" applyAlignment="1">
      <alignment horizontal="right" vertical="center"/>
    </xf>
    <xf numFmtId="167" fontId="114" fillId="37" borderId="4" xfId="3" applyNumberFormat="1" applyFont="1" applyFill="1" applyBorder="1" applyAlignment="1">
      <alignment horizontal="right" vertical="center"/>
    </xf>
    <xf numFmtId="0" fontId="114" fillId="0" borderId="0" xfId="3" applyFont="1" applyBorder="1" applyAlignment="1">
      <alignment vertical="center"/>
    </xf>
    <xf numFmtId="167" fontId="114" fillId="0" borderId="28" xfId="3" applyNumberFormat="1" applyFont="1" applyBorder="1" applyAlignment="1">
      <alignment horizontal="right" vertical="center"/>
    </xf>
    <xf numFmtId="0" fontId="114" fillId="0" borderId="29" xfId="3" applyFont="1" applyBorder="1" applyAlignment="1">
      <alignment vertical="center"/>
    </xf>
    <xf numFmtId="4" fontId="116" fillId="32" borderId="118" xfId="3" applyNumberFormat="1" applyFont="1" applyFill="1" applyBorder="1" applyAlignment="1">
      <alignment vertical="center" wrapText="1"/>
    </xf>
    <xf numFmtId="167" fontId="114" fillId="0" borderId="73" xfId="3" applyNumberFormat="1" applyFont="1" applyBorder="1" applyAlignment="1">
      <alignment horizontal="right" vertical="center"/>
    </xf>
    <xf numFmtId="0" fontId="114" fillId="0" borderId="28" xfId="3" applyFont="1" applyBorder="1" applyAlignment="1">
      <alignment vertical="center"/>
    </xf>
    <xf numFmtId="167" fontId="114" fillId="0" borderId="29" xfId="3" applyNumberFormat="1" applyFont="1" applyBorder="1" applyAlignment="1">
      <alignment horizontal="right" vertical="center"/>
    </xf>
    <xf numFmtId="0" fontId="117" fillId="0" borderId="0" xfId="3" applyFont="1" applyAlignment="1">
      <alignment vertical="center"/>
    </xf>
    <xf numFmtId="0" fontId="73" fillId="0" borderId="0" xfId="3" applyFont="1" applyAlignment="1">
      <alignment horizontal="right" vertical="center"/>
    </xf>
    <xf numFmtId="167" fontId="114" fillId="0" borderId="0" xfId="3" applyNumberFormat="1" applyFont="1" applyAlignment="1">
      <alignment vertical="center"/>
    </xf>
    <xf numFmtId="167" fontId="29" fillId="0" borderId="0" xfId="3" applyNumberFormat="1"/>
    <xf numFmtId="9" fontId="29" fillId="0" borderId="3" xfId="3" applyNumberFormat="1" applyBorder="1"/>
    <xf numFmtId="9" fontId="29" fillId="0" borderId="1" xfId="3" applyNumberFormat="1" applyBorder="1"/>
    <xf numFmtId="0" fontId="26" fillId="0" borderId="0" xfId="3" applyFont="1"/>
    <xf numFmtId="0" fontId="1" fillId="0" borderId="1" xfId="3" applyFont="1" applyBorder="1"/>
    <xf numFmtId="0" fontId="118" fillId="0" borderId="1" xfId="3" applyFont="1" applyBorder="1" applyAlignment="1">
      <alignment horizontal="right"/>
    </xf>
    <xf numFmtId="0" fontId="29" fillId="0" borderId="1" xfId="3" applyBorder="1" applyAlignment="1">
      <alignment wrapText="1"/>
    </xf>
    <xf numFmtId="0" fontId="29" fillId="0" borderId="1" xfId="3" applyBorder="1" applyAlignment="1">
      <alignment horizontal="right"/>
    </xf>
    <xf numFmtId="0" fontId="26" fillId="0" borderId="0" xfId="3" applyFont="1" applyAlignment="1">
      <alignment horizontal="right"/>
    </xf>
    <xf numFmtId="0" fontId="29" fillId="0" borderId="2" xfId="3" applyBorder="1" applyAlignment="1">
      <alignment wrapText="1"/>
    </xf>
    <xf numFmtId="0" fontId="29" fillId="0" borderId="2" xfId="3" applyBorder="1"/>
    <xf numFmtId="0" fontId="26" fillId="0" borderId="1" xfId="3" applyFont="1" applyBorder="1" applyAlignment="1">
      <alignment horizontal="left" wrapText="1"/>
    </xf>
    <xf numFmtId="168" fontId="1" fillId="0" borderId="1" xfId="3" applyNumberFormat="1" applyFont="1" applyBorder="1" applyAlignment="1">
      <alignment wrapText="1"/>
    </xf>
    <xf numFmtId="0" fontId="26" fillId="0" borderId="1" xfId="3" applyFont="1" applyBorder="1" applyAlignment="1">
      <alignment horizontal="right"/>
    </xf>
    <xf numFmtId="168" fontId="29" fillId="0" borderId="1" xfId="3" applyNumberFormat="1" applyBorder="1" applyAlignment="1">
      <alignment wrapText="1"/>
    </xf>
    <xf numFmtId="43" fontId="0" fillId="0" borderId="1" xfId="4" applyFont="1" applyBorder="1"/>
    <xf numFmtId="9" fontId="29" fillId="0" borderId="0" xfId="3" applyNumberFormat="1"/>
    <xf numFmtId="0" fontId="1" fillId="2" borderId="0" xfId="3" applyFont="1" applyFill="1"/>
    <xf numFmtId="0" fontId="29" fillId="2" borderId="0" xfId="3" applyFill="1"/>
    <xf numFmtId="0" fontId="40" fillId="0" borderId="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4" fontId="1" fillId="6" borderId="1" xfId="0" applyNumberFormat="1" applyFont="1" applyFill="1" applyBorder="1"/>
    <xf numFmtId="0" fontId="0" fillId="0" borderId="5" xfId="0" applyBorder="1" applyAlignment="1">
      <alignment horizontal="center" vertical="center"/>
    </xf>
    <xf numFmtId="0" fontId="2" fillId="0" borderId="0" xfId="0" applyFont="1"/>
    <xf numFmtId="0" fontId="42" fillId="0" borderId="0" xfId="0" applyFont="1" applyAlignment="1">
      <alignment horizontal="right" vertical="center"/>
    </xf>
    <xf numFmtId="0" fontId="56" fillId="24" borderId="1" xfId="0" applyFont="1" applyFill="1" applyBorder="1" applyAlignment="1">
      <alignment horizontal="center" vertical="center" wrapText="1"/>
    </xf>
    <xf numFmtId="16" fontId="32" fillId="0" borderId="1" xfId="0" applyNumberFormat="1" applyFont="1" applyBorder="1" applyAlignment="1">
      <alignment horizontal="justify" vertical="center"/>
    </xf>
    <xf numFmtId="0" fontId="32" fillId="0" borderId="1" xfId="0" applyFont="1" applyBorder="1" applyAlignment="1">
      <alignment horizontal="left" vertical="center" wrapText="1" indent="1"/>
    </xf>
    <xf numFmtId="167" fontId="34" fillId="0" borderId="1" xfId="0" applyNumberFormat="1" applyFont="1" applyBorder="1" applyAlignment="1">
      <alignment horizontal="center" wrapText="1"/>
    </xf>
    <xf numFmtId="0" fontId="0" fillId="0" borderId="32" xfId="0" applyBorder="1"/>
    <xf numFmtId="0" fontId="64" fillId="0" borderId="1" xfId="0" applyFont="1" applyBorder="1" applyAlignment="1">
      <alignment horizontal="center" vertical="center"/>
    </xf>
    <xf numFmtId="4" fontId="26" fillId="33" borderId="1" xfId="32" applyNumberFormat="1" applyFont="1" applyFill="1" applyBorder="1" applyAlignment="1">
      <alignment vertical="center"/>
    </xf>
    <xf numFmtId="4" fontId="26" fillId="0" borderId="1" xfId="32" applyNumberFormat="1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64" fillId="0" borderId="4" xfId="0" applyFont="1" applyBorder="1" applyAlignment="1">
      <alignment horizontal="center" vertical="center"/>
    </xf>
    <xf numFmtId="0" fontId="0" fillId="0" borderId="24" xfId="0" applyFill="1" applyBorder="1"/>
    <xf numFmtId="0" fontId="0" fillId="0" borderId="31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39" borderId="89" xfId="0" applyFill="1" applyBorder="1"/>
    <xf numFmtId="0" fontId="0" fillId="39" borderId="1" xfId="0" applyFill="1" applyBorder="1"/>
    <xf numFmtId="0" fontId="0" fillId="39" borderId="90" xfId="0" applyFill="1" applyBorder="1"/>
    <xf numFmtId="0" fontId="0" fillId="7" borderId="89" xfId="0" applyFill="1" applyBorder="1"/>
    <xf numFmtId="0" fontId="0" fillId="30" borderId="89" xfId="0" applyFill="1" applyBorder="1"/>
    <xf numFmtId="0" fontId="0" fillId="30" borderId="90" xfId="0" applyFill="1" applyBorder="1"/>
    <xf numFmtId="0" fontId="1" fillId="40" borderId="1" xfId="0" applyFont="1" applyFill="1" applyBorder="1" applyAlignment="1">
      <alignment vertical="center" wrapText="1"/>
    </xf>
    <xf numFmtId="0" fontId="1" fillId="40" borderId="1" xfId="0" applyFont="1" applyFill="1" applyBorder="1" applyAlignment="1">
      <alignment horizontal="center" vertical="center" wrapText="1"/>
    </xf>
    <xf numFmtId="4" fontId="1" fillId="40" borderId="1" xfId="0" applyNumberFormat="1" applyFont="1" applyFill="1" applyBorder="1"/>
    <xf numFmtId="4" fontId="0" fillId="39" borderId="89" xfId="0" applyNumberFormat="1" applyFill="1" applyBorder="1"/>
    <xf numFmtId="164" fontId="0" fillId="7" borderId="89" xfId="0" applyNumberFormat="1" applyFill="1" applyBorder="1"/>
    <xf numFmtId="164" fontId="0" fillId="7" borderId="1" xfId="0" applyNumberFormat="1" applyFill="1" applyBorder="1"/>
    <xf numFmtId="164" fontId="0" fillId="7" borderId="90" xfId="0" applyNumberFormat="1" applyFill="1" applyBorder="1"/>
    <xf numFmtId="43" fontId="1" fillId="0" borderId="24" xfId="1" applyFont="1" applyBorder="1"/>
    <xf numFmtId="0" fontId="64" fillId="0" borderId="89" xfId="0" applyFont="1" applyBorder="1" applyAlignment="1">
      <alignment horizontal="center" vertical="center"/>
    </xf>
    <xf numFmtId="0" fontId="64" fillId="0" borderId="90" xfId="0" applyFont="1" applyBorder="1" applyAlignment="1">
      <alignment horizontal="center" vertical="center"/>
    </xf>
    <xf numFmtId="0" fontId="0" fillId="0" borderId="89" xfId="0" applyFill="1" applyBorder="1" applyAlignment="1">
      <alignment horizontal="center" vertical="center" wrapText="1"/>
    </xf>
    <xf numFmtId="0" fontId="0" fillId="0" borderId="90" xfId="0" applyFill="1" applyBorder="1" applyAlignment="1">
      <alignment horizontal="center" vertical="center" wrapText="1"/>
    </xf>
    <xf numFmtId="43" fontId="0" fillId="0" borderId="89" xfId="1" applyFont="1" applyBorder="1" applyAlignment="1">
      <alignment horizontal="center"/>
    </xf>
    <xf numFmtId="43" fontId="0" fillId="0" borderId="90" xfId="1" applyFont="1" applyBorder="1" applyAlignment="1">
      <alignment horizontal="center"/>
    </xf>
    <xf numFmtId="43" fontId="0" fillId="36" borderId="89" xfId="1" applyFont="1" applyFill="1" applyBorder="1" applyAlignment="1">
      <alignment horizontal="center"/>
    </xf>
    <xf numFmtId="43" fontId="0" fillId="36" borderId="90" xfId="1" applyFont="1" applyFill="1" applyBorder="1" applyAlignment="1">
      <alignment horizontal="center"/>
    </xf>
    <xf numFmtId="43" fontId="0" fillId="30" borderId="89" xfId="1" applyFont="1" applyFill="1" applyBorder="1"/>
    <xf numFmtId="43" fontId="0" fillId="30" borderId="90" xfId="1" applyFont="1" applyFill="1" applyBorder="1"/>
    <xf numFmtId="43" fontId="0" fillId="0" borderId="89" xfId="0" applyNumberFormat="1" applyBorder="1"/>
    <xf numFmtId="43" fontId="0" fillId="0" borderId="90" xfId="0" applyNumberFormat="1" applyBorder="1"/>
    <xf numFmtId="43" fontId="1" fillId="36" borderId="89" xfId="1" applyFont="1" applyFill="1" applyBorder="1"/>
    <xf numFmtId="43" fontId="1" fillId="36" borderId="90" xfId="1" applyFont="1" applyFill="1" applyBorder="1"/>
    <xf numFmtId="43" fontId="1" fillId="30" borderId="89" xfId="1" applyFont="1" applyFill="1" applyBorder="1"/>
    <xf numFmtId="43" fontId="1" fillId="30" borderId="90" xfId="1" applyFont="1" applyFill="1" applyBorder="1"/>
    <xf numFmtId="43" fontId="0" fillId="0" borderId="89" xfId="1" applyFont="1" applyBorder="1"/>
    <xf numFmtId="43" fontId="1" fillId="0" borderId="89" xfId="1" applyFont="1" applyBorder="1"/>
    <xf numFmtId="178" fontId="1" fillId="3" borderId="8" xfId="1" applyNumberFormat="1" applyFont="1" applyFill="1" applyBorder="1"/>
    <xf numFmtId="166" fontId="1" fillId="3" borderId="9" xfId="1" applyNumberFormat="1" applyFont="1" applyFill="1" applyBorder="1"/>
    <xf numFmtId="43" fontId="0" fillId="2" borderId="87" xfId="1" applyFont="1" applyFill="1" applyBorder="1"/>
    <xf numFmtId="43" fontId="0" fillId="2" borderId="88" xfId="1" applyFont="1" applyFill="1" applyBorder="1"/>
    <xf numFmtId="43" fontId="1" fillId="0" borderId="89" xfId="0" applyNumberFormat="1" applyFont="1" applyBorder="1"/>
    <xf numFmtId="43" fontId="1" fillId="3" borderId="10" xfId="1" applyFont="1" applyFill="1" applyBorder="1"/>
    <xf numFmtId="43" fontId="1" fillId="3" borderId="9" xfId="1" applyFont="1" applyFill="1" applyBorder="1"/>
    <xf numFmtId="43" fontId="1" fillId="2" borderId="87" xfId="1" applyFont="1" applyFill="1" applyBorder="1"/>
    <xf numFmtId="43" fontId="1" fillId="2" borderId="88" xfId="1" applyFont="1" applyFill="1" applyBorder="1"/>
    <xf numFmtId="2" fontId="1" fillId="0" borderId="89" xfId="0" applyNumberFormat="1" applyFont="1" applyBorder="1" applyAlignment="1">
      <alignment horizontal="center"/>
    </xf>
    <xf numFmtId="43" fontId="0" fillId="2" borderId="31" xfId="1" applyFont="1" applyFill="1" applyBorder="1"/>
    <xf numFmtId="43" fontId="0" fillId="2" borderId="86" xfId="1" applyFont="1" applyFill="1" applyBorder="1"/>
    <xf numFmtId="43" fontId="0" fillId="2" borderId="89" xfId="1" applyFont="1" applyFill="1" applyBorder="1"/>
    <xf numFmtId="43" fontId="0" fillId="2" borderId="90" xfId="1" applyFont="1" applyFill="1" applyBorder="1"/>
    <xf numFmtId="43" fontId="1" fillId="6" borderId="58" xfId="1" applyFont="1" applyFill="1" applyBorder="1"/>
    <xf numFmtId="43" fontId="1" fillId="6" borderId="93" xfId="1" applyFont="1" applyFill="1" applyBorder="1"/>
    <xf numFmtId="43" fontId="1" fillId="6" borderId="8" xfId="1" applyFont="1" applyFill="1" applyBorder="1"/>
    <xf numFmtId="43" fontId="1" fillId="6" borderId="9" xfId="1" applyFont="1" applyFill="1" applyBorder="1"/>
    <xf numFmtId="0" fontId="0" fillId="0" borderId="11" xfId="0" applyBorder="1" applyAlignment="1">
      <alignment horizontal="center" vertical="center"/>
    </xf>
    <xf numFmtId="0" fontId="0" fillId="0" borderId="67" xfId="0" applyBorder="1"/>
    <xf numFmtId="0" fontId="23" fillId="0" borderId="6" xfId="0" applyFont="1" applyBorder="1"/>
    <xf numFmtId="0" fontId="0" fillId="0" borderId="19" xfId="0" applyBorder="1"/>
    <xf numFmtId="0" fontId="23" fillId="0" borderId="13" xfId="0" applyFont="1" applyBorder="1"/>
    <xf numFmtId="0" fontId="0" fillId="0" borderId="5" xfId="0" applyBorder="1"/>
    <xf numFmtId="0" fontId="23" fillId="0" borderId="4" xfId="0" applyFont="1" applyBorder="1"/>
    <xf numFmtId="0" fontId="119" fillId="0" borderId="0" xfId="0" applyFont="1"/>
    <xf numFmtId="0" fontId="64" fillId="0" borderId="62" xfId="0" applyFont="1" applyFill="1" applyBorder="1" applyAlignment="1">
      <alignment horizontal="center" vertical="center"/>
    </xf>
    <xf numFmtId="0" fontId="0" fillId="0" borderId="62" xfId="0" applyFill="1" applyBorder="1" applyAlignment="1">
      <alignment horizontal="center"/>
    </xf>
    <xf numFmtId="0" fontId="64" fillId="0" borderId="1" xfId="0" applyFont="1" applyFill="1" applyBorder="1" applyAlignment="1">
      <alignment horizontal="right" vertical="center"/>
    </xf>
    <xf numFmtId="175" fontId="0" fillId="0" borderId="1" xfId="0" applyNumberFormat="1" applyBorder="1"/>
    <xf numFmtId="4" fontId="0" fillId="0" borderId="89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90" xfId="0" applyNumberFormat="1" applyBorder="1" applyAlignment="1">
      <alignment horizontal="center" vertical="center"/>
    </xf>
    <xf numFmtId="2" fontId="0" fillId="0" borderId="89" xfId="0" applyNumberFormat="1" applyBorder="1"/>
    <xf numFmtId="2" fontId="0" fillId="0" borderId="1" xfId="0" applyNumberFormat="1" applyBorder="1"/>
    <xf numFmtId="2" fontId="0" fillId="0" borderId="90" xfId="0" applyNumberFormat="1" applyBorder="1"/>
    <xf numFmtId="4" fontId="1" fillId="2" borderId="89" xfId="0" applyNumberFormat="1" applyFont="1" applyFill="1" applyBorder="1"/>
    <xf numFmtId="168" fontId="1" fillId="6" borderId="8" xfId="0" applyNumberFormat="1" applyFont="1" applyFill="1" applyBorder="1"/>
    <xf numFmtId="168" fontId="1" fillId="6" borderId="9" xfId="0" applyNumberFormat="1" applyFont="1" applyFill="1" applyBorder="1"/>
    <xf numFmtId="0" fontId="33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5" xfId="0" applyFill="1" applyBorder="1" applyAlignment="1">
      <alignment horizontal="center"/>
    </xf>
    <xf numFmtId="0" fontId="0" fillId="0" borderId="23" xfId="0" applyBorder="1" applyAlignment="1">
      <alignment horizontal="center"/>
    </xf>
    <xf numFmtId="4" fontId="0" fillId="2" borderId="24" xfId="0" applyNumberFormat="1" applyFill="1" applyBorder="1"/>
    <xf numFmtId="0" fontId="0" fillId="0" borderId="85" xfId="0" applyFill="1" applyBorder="1" applyAlignment="1">
      <alignment horizontal="center"/>
    </xf>
    <xf numFmtId="0" fontId="0" fillId="0" borderId="86" xfId="0" applyFill="1" applyBorder="1" applyAlignment="1">
      <alignment horizontal="center"/>
    </xf>
    <xf numFmtId="4" fontId="0" fillId="2" borderId="89" xfId="0" applyNumberFormat="1" applyFill="1" applyBorder="1"/>
    <xf numFmtId="4" fontId="0" fillId="2" borderId="72" xfId="0" applyNumberFormat="1" applyFill="1" applyBorder="1"/>
    <xf numFmtId="4" fontId="0" fillId="2" borderId="52" xfId="0" applyNumberFormat="1" applyFill="1" applyBorder="1"/>
    <xf numFmtId="4" fontId="0" fillId="2" borderId="73" xfId="0" applyNumberFormat="1" applyFill="1" applyBorder="1"/>
    <xf numFmtId="164" fontId="0" fillId="0" borderId="90" xfId="0" applyNumberFormat="1" applyBorder="1"/>
    <xf numFmtId="164" fontId="0" fillId="0" borderId="89" xfId="0" applyNumberFormat="1" applyBorder="1"/>
    <xf numFmtId="0" fontId="0" fillId="0" borderId="88" xfId="0" applyBorder="1"/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71" xfId="0" applyBorder="1" applyAlignment="1">
      <alignment horizontal="center"/>
    </xf>
    <xf numFmtId="4" fontId="1" fillId="6" borderId="58" xfId="0" applyNumberFormat="1" applyFont="1" applyFill="1" applyBorder="1"/>
    <xf numFmtId="4" fontId="0" fillId="41" borderId="1" xfId="0" applyNumberFormat="1" applyFill="1" applyBorder="1"/>
    <xf numFmtId="0" fontId="1" fillId="6" borderId="5" xfId="32" applyFont="1" applyFill="1" applyBorder="1" applyAlignment="1">
      <alignment horizontal="center" vertical="center" wrapText="1"/>
    </xf>
    <xf numFmtId="0" fontId="1" fillId="6" borderId="6" xfId="32" applyFont="1" applyFill="1" applyBorder="1" applyAlignment="1">
      <alignment horizontal="center" vertical="center" wrapText="1"/>
    </xf>
    <xf numFmtId="0" fontId="117" fillId="6" borderId="2" xfId="32" applyFont="1" applyFill="1" applyBorder="1" applyAlignment="1">
      <alignment vertical="center" wrapText="1"/>
    </xf>
    <xf numFmtId="10" fontId="42" fillId="0" borderId="0" xfId="34" applyNumberFormat="1" applyFont="1" applyAlignment="1">
      <alignment horizontal="right" vertical="center"/>
    </xf>
    <xf numFmtId="167" fontId="42" fillId="0" borderId="0" xfId="0" applyNumberFormat="1" applyFont="1" applyAlignment="1">
      <alignment horizontal="right" vertical="center"/>
    </xf>
    <xf numFmtId="0" fontId="6" fillId="0" borderId="1" xfId="0" applyFont="1" applyBorder="1"/>
    <xf numFmtId="0" fontId="42" fillId="0" borderId="1" xfId="0" applyFont="1" applyBorder="1" applyAlignment="1">
      <alignment horizontal="right" vertical="center"/>
    </xf>
    <xf numFmtId="4" fontId="1" fillId="6" borderId="22" xfId="0" applyNumberFormat="1" applyFont="1" applyFill="1" applyBorder="1"/>
    <xf numFmtId="4" fontId="1" fillId="0" borderId="89" xfId="0" applyNumberFormat="1" applyFont="1" applyBorder="1"/>
    <xf numFmtId="0" fontId="0" fillId="0" borderId="2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" fontId="1" fillId="0" borderId="82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vertical="center" wrapText="1"/>
    </xf>
    <xf numFmtId="4" fontId="1" fillId="2" borderId="24" xfId="0" applyNumberFormat="1" applyFont="1" applyFill="1" applyBorder="1"/>
    <xf numFmtId="0" fontId="0" fillId="2" borderId="89" xfId="0" applyFill="1" applyBorder="1"/>
    <xf numFmtId="0" fontId="1" fillId="8" borderId="72" xfId="0" applyFont="1" applyFill="1" applyBorder="1"/>
    <xf numFmtId="0" fontId="1" fillId="8" borderId="52" xfId="0" applyFont="1" applyFill="1" applyBorder="1"/>
    <xf numFmtId="0" fontId="1" fillId="8" borderId="73" xfId="0" applyFont="1" applyFill="1" applyBorder="1"/>
    <xf numFmtId="4" fontId="1" fillId="8" borderId="89" xfId="0" applyNumberFormat="1" applyFont="1" applyFill="1" applyBorder="1"/>
    <xf numFmtId="179" fontId="0" fillId="0" borderId="0" xfId="0" applyNumberFormat="1"/>
    <xf numFmtId="4" fontId="1" fillId="42" borderId="1" xfId="0" applyNumberFormat="1" applyFont="1" applyFill="1" applyBorder="1"/>
    <xf numFmtId="0" fontId="0" fillId="0" borderId="10" xfId="0" applyBorder="1" applyAlignment="1">
      <alignment horizontal="center" vertical="center"/>
    </xf>
    <xf numFmtId="0" fontId="0" fillId="39" borderId="89" xfId="0" applyFill="1" applyBorder="1" applyAlignment="1">
      <alignment horizontal="center" vertical="center"/>
    </xf>
    <xf numFmtId="0" fontId="0" fillId="39" borderId="90" xfId="0" applyFill="1" applyBorder="1" applyAlignment="1">
      <alignment horizontal="center" vertical="center"/>
    </xf>
    <xf numFmtId="0" fontId="0" fillId="39" borderId="72" xfId="0" applyFill="1" applyBorder="1"/>
    <xf numFmtId="0" fontId="0" fillId="39" borderId="73" xfId="0" applyFill="1" applyBorder="1"/>
    <xf numFmtId="4" fontId="0" fillId="0" borderId="3" xfId="0" applyNumberFormat="1" applyFont="1" applyFill="1" applyBorder="1"/>
    <xf numFmtId="0" fontId="1" fillId="0" borderId="12" xfId="0" applyFont="1" applyBorder="1" applyAlignment="1"/>
    <xf numFmtId="4" fontId="1" fillId="2" borderId="24" xfId="0" applyNumberFormat="1" applyFont="1" applyFill="1" applyBorder="1" applyAlignment="1">
      <alignment vertical="center" wrapText="1"/>
    </xf>
    <xf numFmtId="0" fontId="1" fillId="2" borderId="24" xfId="0" applyFont="1" applyFill="1" applyBorder="1" applyAlignment="1">
      <alignment horizontal="center" vertical="center" wrapText="1"/>
    </xf>
    <xf numFmtId="4" fontId="1" fillId="2" borderId="24" xfId="0" applyNumberFormat="1" applyFont="1" applyFill="1" applyBorder="1" applyAlignment="1">
      <alignment horizontal="center" vertical="center" wrapText="1"/>
    </xf>
    <xf numFmtId="4" fontId="1" fillId="17" borderId="24" xfId="0" applyNumberFormat="1" applyFont="1" applyFill="1" applyBorder="1"/>
    <xf numFmtId="43" fontId="0" fillId="7" borderId="89" xfId="0" applyNumberFormat="1" applyFill="1" applyBorder="1"/>
    <xf numFmtId="43" fontId="0" fillId="0" borderId="89" xfId="0" applyNumberFormat="1" applyFill="1" applyBorder="1"/>
    <xf numFmtId="173" fontId="1" fillId="3" borderId="8" xfId="1" applyNumberFormat="1" applyFont="1" applyFill="1" applyBorder="1" applyAlignment="1">
      <alignment horizontal="center"/>
    </xf>
    <xf numFmtId="4" fontId="0" fillId="0" borderId="24" xfId="0" applyNumberFormat="1" applyBorder="1" applyAlignment="1">
      <alignment vertical="center" wrapText="1"/>
    </xf>
    <xf numFmtId="0" fontId="0" fillId="0" borderId="67" xfId="0" applyFill="1" applyBorder="1" applyAlignment="1">
      <alignment horizontal="center"/>
    </xf>
    <xf numFmtId="4" fontId="1" fillId="2" borderId="89" xfId="0" applyNumberFormat="1" applyFont="1" applyFill="1" applyBorder="1" applyAlignment="1">
      <alignment vertical="center" wrapText="1"/>
    </xf>
    <xf numFmtId="4" fontId="1" fillId="2" borderId="89" xfId="0" applyNumberFormat="1" applyFont="1" applyFill="1" applyBorder="1" applyAlignment="1">
      <alignment horizontal="center" vertical="center" wrapText="1"/>
    </xf>
    <xf numFmtId="4" fontId="1" fillId="6" borderId="72" xfId="0" applyNumberFormat="1" applyFont="1" applyFill="1" applyBorder="1"/>
    <xf numFmtId="4" fontId="1" fillId="6" borderId="58" xfId="0" applyNumberFormat="1" applyFont="1" applyFill="1" applyBorder="1" applyAlignment="1">
      <alignment horizontal="left" vertical="center" wrapText="1"/>
    </xf>
    <xf numFmtId="0" fontId="0" fillId="17" borderId="1" xfId="0" applyFill="1" applyBorder="1"/>
    <xf numFmtId="4" fontId="1" fillId="3" borderId="22" xfId="1" applyNumberFormat="1" applyFont="1" applyFill="1" applyBorder="1"/>
    <xf numFmtId="4" fontId="1" fillId="3" borderId="78" xfId="0" applyNumberFormat="1" applyFont="1" applyFill="1" applyBorder="1"/>
    <xf numFmtId="4" fontId="1" fillId="2" borderId="78" xfId="0" applyNumberFormat="1" applyFont="1" applyFill="1" applyBorder="1"/>
    <xf numFmtId="0" fontId="1" fillId="0" borderId="0" xfId="0" applyFont="1" applyFill="1" applyBorder="1" applyAlignment="1"/>
    <xf numFmtId="43" fontId="0" fillId="0" borderId="0" xfId="0" applyNumberFormat="1" applyFill="1" applyBorder="1"/>
    <xf numFmtId="172" fontId="0" fillId="0" borderId="0" xfId="0" applyNumberFormat="1" applyFill="1" applyBorder="1"/>
    <xf numFmtId="43" fontId="1" fillId="0" borderId="0" xfId="0" applyNumberFormat="1" applyFont="1" applyFill="1" applyBorder="1"/>
    <xf numFmtId="43" fontId="0" fillId="0" borderId="0" xfId="1" applyFont="1" applyFill="1" applyBorder="1"/>
    <xf numFmtId="4" fontId="1" fillId="0" borderId="0" xfId="1" applyNumberFormat="1" applyFont="1" applyFill="1" applyBorder="1" applyAlignment="1" applyProtection="1">
      <alignment horizontal="right"/>
      <protection locked="0"/>
    </xf>
    <xf numFmtId="4" fontId="1" fillId="0" borderId="0" xfId="1" applyNumberFormat="1" applyFont="1" applyFill="1" applyBorder="1" applyAlignment="1">
      <alignment horizontal="right"/>
    </xf>
    <xf numFmtId="4" fontId="1" fillId="0" borderId="0" xfId="1" applyNumberFormat="1" applyFont="1" applyFill="1" applyBorder="1"/>
    <xf numFmtId="3" fontId="1" fillId="0" borderId="0" xfId="0" applyNumberFormat="1" applyFont="1" applyFill="1" applyBorder="1"/>
    <xf numFmtId="4" fontId="1" fillId="36" borderId="24" xfId="0" applyNumberFormat="1" applyFont="1" applyFill="1" applyBorder="1"/>
    <xf numFmtId="4" fontId="1" fillId="3" borderId="22" xfId="0" applyNumberFormat="1" applyFont="1" applyFill="1" applyBorder="1"/>
    <xf numFmtId="43" fontId="1" fillId="0" borderId="25" xfId="1" applyFont="1" applyBorder="1"/>
    <xf numFmtId="3" fontId="1" fillId="0" borderId="24" xfId="0" applyNumberFormat="1" applyFont="1" applyBorder="1"/>
    <xf numFmtId="0" fontId="0" fillId="0" borderId="96" xfId="0" applyBorder="1"/>
    <xf numFmtId="0" fontId="0" fillId="2" borderId="97" xfId="0" applyFill="1" applyBorder="1"/>
    <xf numFmtId="0" fontId="1" fillId="0" borderId="32" xfId="0" applyFont="1" applyBorder="1"/>
    <xf numFmtId="0" fontId="1" fillId="0" borderId="97" xfId="0" applyFont="1" applyBorder="1"/>
    <xf numFmtId="0" fontId="0" fillId="0" borderId="97" xfId="0" applyBorder="1"/>
    <xf numFmtId="4" fontId="0" fillId="0" borderId="97" xfId="0" applyNumberFormat="1" applyBorder="1"/>
    <xf numFmtId="4" fontId="1" fillId="0" borderId="97" xfId="0" applyNumberFormat="1" applyFont="1" applyBorder="1"/>
    <xf numFmtId="4" fontId="1" fillId="0" borderId="113" xfId="0" applyNumberFormat="1" applyFont="1" applyBorder="1"/>
    <xf numFmtId="0" fontId="1" fillId="0" borderId="89" xfId="0" applyFont="1" applyBorder="1"/>
    <xf numFmtId="0" fontId="0" fillId="0" borderId="94" xfId="0" applyBorder="1"/>
    <xf numFmtId="0" fontId="0" fillId="0" borderId="113" xfId="0" applyBorder="1"/>
    <xf numFmtId="4" fontId="1" fillId="3" borderId="12" xfId="0" applyNumberFormat="1" applyFont="1" applyFill="1" applyBorder="1"/>
    <xf numFmtId="0" fontId="0" fillId="2" borderId="95" xfId="0" applyFill="1" applyBorder="1"/>
    <xf numFmtId="43" fontId="0" fillId="0" borderId="89" xfId="1" applyFont="1" applyBorder="1" applyAlignment="1">
      <alignment horizontal="right"/>
    </xf>
    <xf numFmtId="43" fontId="0" fillId="0" borderId="97" xfId="1" applyFont="1" applyBorder="1"/>
    <xf numFmtId="43" fontId="0" fillId="0" borderId="32" xfId="0" applyNumberFormat="1" applyBorder="1" applyAlignment="1">
      <alignment horizontal="right"/>
    </xf>
    <xf numFmtId="4" fontId="1" fillId="0" borderId="89" xfId="1" applyNumberFormat="1" applyFont="1" applyBorder="1" applyAlignment="1" applyProtection="1">
      <alignment horizontal="right"/>
      <protection locked="0"/>
    </xf>
    <xf numFmtId="4" fontId="1" fillId="0" borderId="90" xfId="1" applyNumberFormat="1" applyFont="1" applyBorder="1" applyAlignment="1" applyProtection="1">
      <alignment horizontal="right"/>
      <protection locked="0"/>
    </xf>
    <xf numFmtId="0" fontId="0" fillId="0" borderId="32" xfId="0" applyBorder="1" applyAlignment="1">
      <alignment horizontal="right"/>
    </xf>
    <xf numFmtId="4" fontId="1" fillId="0" borderId="89" xfId="1" applyNumberFormat="1" applyFont="1" applyBorder="1" applyAlignment="1">
      <alignment horizontal="right"/>
    </xf>
    <xf numFmtId="0" fontId="1" fillId="0" borderId="113" xfId="0" applyFont="1" applyBorder="1"/>
    <xf numFmtId="4" fontId="1" fillId="3" borderId="8" xfId="1" applyNumberFormat="1" applyFont="1" applyFill="1" applyBorder="1"/>
    <xf numFmtId="4" fontId="1" fillId="3" borderId="9" xfId="1" applyNumberFormat="1" applyFont="1" applyFill="1" applyBorder="1"/>
    <xf numFmtId="0" fontId="1" fillId="2" borderId="95" xfId="0" applyFont="1" applyFill="1" applyBorder="1"/>
    <xf numFmtId="0" fontId="1" fillId="2" borderId="48" xfId="0" applyFont="1" applyFill="1" applyBorder="1"/>
    <xf numFmtId="3" fontId="1" fillId="0" borderId="89" xfId="0" applyNumberFormat="1" applyFont="1" applyBorder="1"/>
    <xf numFmtId="3" fontId="1" fillId="0" borderId="97" xfId="0" applyNumberFormat="1" applyFont="1" applyBorder="1"/>
    <xf numFmtId="4" fontId="1" fillId="3" borderId="58" xfId="0" applyNumberFormat="1" applyFont="1" applyFill="1" applyBorder="1"/>
    <xf numFmtId="4" fontId="1" fillId="3" borderId="93" xfId="0" applyNumberFormat="1" applyFont="1" applyFill="1" applyBorder="1"/>
    <xf numFmtId="4" fontId="0" fillId="2" borderId="31" xfId="0" applyNumberFormat="1" applyFill="1" applyBorder="1"/>
    <xf numFmtId="4" fontId="0" fillId="2" borderId="11" xfId="0" applyNumberFormat="1" applyFill="1" applyBorder="1"/>
    <xf numFmtId="4" fontId="1" fillId="2" borderId="58" xfId="0" applyNumberFormat="1" applyFont="1" applyFill="1" applyBorder="1"/>
    <xf numFmtId="4" fontId="1" fillId="2" borderId="93" xfId="0" applyNumberFormat="1" applyFont="1" applyFill="1" applyBorder="1"/>
    <xf numFmtId="3" fontId="1" fillId="6" borderId="12" xfId="0" applyNumberFormat="1" applyFont="1" applyFill="1" applyBorder="1"/>
    <xf numFmtId="167" fontId="0" fillId="5" borderId="24" xfId="0" applyNumberFormat="1" applyFill="1" applyBorder="1"/>
    <xf numFmtId="0" fontId="0" fillId="4" borderId="24" xfId="0" applyFill="1" applyBorder="1"/>
    <xf numFmtId="0" fontId="0" fillId="6" borderId="24" xfId="0" applyFill="1" applyBorder="1"/>
    <xf numFmtId="0" fontId="0" fillId="7" borderId="24" xfId="0" applyFill="1" applyBorder="1"/>
    <xf numFmtId="167" fontId="0" fillId="7" borderId="24" xfId="0" applyNumberFormat="1" applyFill="1" applyBorder="1"/>
    <xf numFmtId="4" fontId="0" fillId="6" borderId="22" xfId="0" applyNumberFormat="1" applyFill="1" applyBorder="1"/>
    <xf numFmtId="167" fontId="0" fillId="5" borderId="89" xfId="0" applyNumberFormat="1" applyFill="1" applyBorder="1"/>
    <xf numFmtId="167" fontId="0" fillId="5" borderId="97" xfId="0" applyNumberFormat="1" applyFill="1" applyBorder="1"/>
    <xf numFmtId="0" fontId="0" fillId="4" borderId="89" xfId="0" applyFill="1" applyBorder="1"/>
    <xf numFmtId="0" fontId="0" fillId="4" borderId="97" xfId="0" applyFill="1" applyBorder="1"/>
    <xf numFmtId="0" fontId="0" fillId="6" borderId="89" xfId="0" applyFill="1" applyBorder="1"/>
    <xf numFmtId="0" fontId="0" fillId="6" borderId="97" xfId="0" applyFill="1" applyBorder="1"/>
    <xf numFmtId="167" fontId="0" fillId="7" borderId="89" xfId="0" applyNumberFormat="1" applyFill="1" applyBorder="1"/>
    <xf numFmtId="167" fontId="0" fillId="7" borderId="97" xfId="0" applyNumberFormat="1" applyFill="1" applyBorder="1"/>
    <xf numFmtId="0" fontId="26" fillId="0" borderId="61" xfId="32" applyBorder="1" applyAlignment="1">
      <alignment horizontal="center"/>
    </xf>
    <xf numFmtId="0" fontId="1" fillId="2" borderId="61" xfId="32" applyFont="1" applyFill="1" applyBorder="1" applyAlignment="1">
      <alignment horizontal="center"/>
    </xf>
    <xf numFmtId="4" fontId="26" fillId="0" borderId="62" xfId="32" applyNumberFormat="1" applyFont="1" applyFill="1" applyBorder="1" applyAlignment="1">
      <alignment vertical="center" wrapText="1"/>
    </xf>
    <xf numFmtId="4" fontId="26" fillId="0" borderId="66" xfId="32" applyNumberFormat="1" applyFont="1" applyFill="1" applyBorder="1" applyAlignment="1">
      <alignment vertical="center" wrapText="1"/>
    </xf>
    <xf numFmtId="4" fontId="26" fillId="0" borderId="62" xfId="32" applyNumberFormat="1" applyFont="1" applyFill="1" applyBorder="1"/>
    <xf numFmtId="4" fontId="26" fillId="6" borderId="29" xfId="32" applyNumberFormat="1" applyFill="1" applyBorder="1"/>
    <xf numFmtId="4" fontId="0" fillId="0" borderId="90" xfId="32" applyNumberFormat="1" applyFont="1" applyFill="1" applyBorder="1"/>
    <xf numFmtId="167" fontId="26" fillId="0" borderId="1" xfId="32" applyNumberFormat="1" applyFont="1" applyFill="1" applyBorder="1" applyAlignment="1">
      <alignment horizontal="right" vertical="center"/>
    </xf>
    <xf numFmtId="4" fontId="26" fillId="28" borderId="24" xfId="32" applyNumberFormat="1" applyFont="1" applyFill="1" applyBorder="1" applyAlignment="1">
      <alignment vertical="center" wrapText="1"/>
    </xf>
    <xf numFmtId="4" fontId="23" fillId="0" borderId="90" xfId="32" applyNumberFormat="1" applyFont="1" applyFill="1" applyBorder="1"/>
    <xf numFmtId="4" fontId="23" fillId="0" borderId="89" xfId="32" applyNumberFormat="1" applyFont="1" applyFill="1" applyBorder="1" applyAlignment="1">
      <alignment vertical="center" wrapText="1"/>
    </xf>
    <xf numFmtId="4" fontId="0" fillId="0" borderId="90" xfId="32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49" fontId="1" fillId="6" borderId="58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7" fillId="0" borderId="1" xfId="32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23" xfId="0" applyBorder="1"/>
    <xf numFmtId="0" fontId="0" fillId="0" borderId="8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180" fontId="0" fillId="0" borderId="0" xfId="0" applyNumberFormat="1"/>
    <xf numFmtId="0" fontId="3" fillId="7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6" fillId="0" borderId="0" xfId="32" applyFont="1"/>
    <xf numFmtId="0" fontId="57" fillId="0" borderId="0" xfId="32" applyFont="1" applyAlignment="1">
      <alignment horizontal="right" vertical="center"/>
    </xf>
    <xf numFmtId="0" fontId="57" fillId="0" borderId="0" xfId="32" applyFont="1" applyAlignment="1">
      <alignment horizontal="center" vertical="center"/>
    </xf>
    <xf numFmtId="167" fontId="6" fillId="0" borderId="0" xfId="32" applyNumberFormat="1" applyFont="1"/>
    <xf numFmtId="0" fontId="56" fillId="0" borderId="0" xfId="32" applyFont="1" applyAlignment="1">
      <alignment horizontal="center" vertical="center"/>
    </xf>
    <xf numFmtId="0" fontId="6" fillId="0" borderId="0" xfId="32" applyFont="1" applyFill="1" applyBorder="1" applyAlignment="1">
      <alignment horizontal="center"/>
    </xf>
    <xf numFmtId="0" fontId="57" fillId="0" borderId="1" xfId="32" applyFont="1" applyFill="1" applyBorder="1" applyAlignment="1">
      <alignment horizontal="center" vertical="center" wrapText="1"/>
    </xf>
    <xf numFmtId="0" fontId="57" fillId="0" borderId="1" xfId="32" applyFont="1" applyFill="1" applyBorder="1" applyAlignment="1">
      <alignment horizontal="center" vertical="center"/>
    </xf>
    <xf numFmtId="0" fontId="45" fillId="0" borderId="1" xfId="32" applyFont="1" applyBorder="1" applyAlignment="1">
      <alignment horizontal="center" vertical="center"/>
    </xf>
    <xf numFmtId="0" fontId="46" fillId="5" borderId="1" xfId="32" applyFont="1" applyFill="1" applyBorder="1" applyAlignment="1">
      <alignment horizontal="center" vertical="center"/>
    </xf>
    <xf numFmtId="0" fontId="56" fillId="5" borderId="1" xfId="32" applyFont="1" applyFill="1" applyBorder="1" applyAlignment="1">
      <alignment horizontal="justify" vertical="center" wrapText="1"/>
    </xf>
    <xf numFmtId="0" fontId="99" fillId="5" borderId="1" xfId="32" applyFont="1" applyFill="1" applyBorder="1" applyAlignment="1">
      <alignment vertical="center"/>
    </xf>
    <xf numFmtId="0" fontId="6" fillId="5" borderId="0" xfId="32" applyFont="1" applyFill="1"/>
    <xf numFmtId="0" fontId="57" fillId="0" borderId="1" xfId="32" applyFont="1" applyBorder="1" applyAlignment="1">
      <alignment horizontal="left" vertical="center" wrapText="1" indent="1"/>
    </xf>
    <xf numFmtId="0" fontId="57" fillId="0" borderId="1" xfId="32" applyFont="1" applyBorder="1" applyAlignment="1">
      <alignment horizontal="center" vertical="center"/>
    </xf>
    <xf numFmtId="167" fontId="45" fillId="0" borderId="1" xfId="32" applyNumberFormat="1" applyFont="1" applyFill="1" applyBorder="1" applyAlignment="1">
      <alignment horizontal="center" wrapText="1"/>
    </xf>
    <xf numFmtId="167" fontId="45" fillId="0" borderId="1" xfId="32" applyNumberFormat="1" applyFont="1" applyBorder="1" applyAlignment="1">
      <alignment horizontal="center" wrapText="1"/>
    </xf>
    <xf numFmtId="0" fontId="57" fillId="0" borderId="1" xfId="32" applyFont="1" applyBorder="1" applyAlignment="1">
      <alignment horizontal="left" vertical="center" wrapText="1" indent="2"/>
    </xf>
    <xf numFmtId="0" fontId="45" fillId="2" borderId="1" xfId="32" applyFont="1" applyFill="1" applyBorder="1" applyAlignment="1">
      <alignment horizontal="center" vertical="center"/>
    </xf>
    <xf numFmtId="0" fontId="57" fillId="2" borderId="1" xfId="32" applyFont="1" applyFill="1" applyBorder="1" applyAlignment="1">
      <alignment horizontal="left" vertical="center" wrapText="1" indent="3"/>
    </xf>
    <xf numFmtId="0" fontId="57" fillId="2" borderId="1" xfId="32" applyFont="1" applyFill="1" applyBorder="1" applyAlignment="1">
      <alignment horizontal="center" vertical="center"/>
    </xf>
    <xf numFmtId="167" fontId="45" fillId="2" borderId="1" xfId="32" applyNumberFormat="1" applyFont="1" applyFill="1" applyBorder="1" applyAlignment="1">
      <alignment horizontal="center" wrapText="1"/>
    </xf>
    <xf numFmtId="0" fontId="6" fillId="2" borderId="0" xfId="32" applyFont="1" applyFill="1"/>
    <xf numFmtId="0" fontId="6" fillId="0" borderId="1" xfId="32" applyFont="1" applyBorder="1"/>
    <xf numFmtId="0" fontId="45" fillId="0" borderId="1" xfId="32" applyFont="1" applyBorder="1" applyAlignment="1">
      <alignment horizontal="center"/>
    </xf>
    <xf numFmtId="0" fontId="57" fillId="0" borderId="1" xfId="32" applyFont="1" applyBorder="1" applyAlignment="1">
      <alignment horizontal="center"/>
    </xf>
    <xf numFmtId="0" fontId="6" fillId="0" borderId="0" xfId="32" applyFont="1" applyAlignment="1"/>
    <xf numFmtId="0" fontId="45" fillId="43" borderId="1" xfId="32" applyFont="1" applyFill="1" applyBorder="1" applyAlignment="1">
      <alignment horizontal="center"/>
    </xf>
    <xf numFmtId="0" fontId="57" fillId="43" borderId="1" xfId="32" applyFont="1" applyFill="1" applyBorder="1" applyAlignment="1">
      <alignment horizontal="left" vertical="center" wrapText="1" indent="1"/>
    </xf>
    <xf numFmtId="0" fontId="57" fillId="43" borderId="1" xfId="32" applyFont="1" applyFill="1" applyBorder="1" applyAlignment="1">
      <alignment horizontal="center"/>
    </xf>
    <xf numFmtId="167" fontId="45" fillId="43" borderId="1" xfId="32" applyNumberFormat="1" applyFont="1" applyFill="1" applyBorder="1" applyAlignment="1">
      <alignment horizontal="center" wrapText="1"/>
    </xf>
    <xf numFmtId="0" fontId="6" fillId="43" borderId="0" xfId="32" applyFont="1" applyFill="1" applyAlignment="1"/>
    <xf numFmtId="0" fontId="45" fillId="44" borderId="1" xfId="32" applyFont="1" applyFill="1" applyBorder="1" applyAlignment="1">
      <alignment horizontal="center"/>
    </xf>
    <xf numFmtId="0" fontId="57" fillId="44" borderId="1" xfId="32" applyFont="1" applyFill="1" applyBorder="1" applyAlignment="1">
      <alignment horizontal="left" vertical="center" wrapText="1"/>
    </xf>
    <xf numFmtId="0" fontId="57" fillId="44" borderId="1" xfId="32" applyFont="1" applyFill="1" applyBorder="1" applyAlignment="1">
      <alignment horizontal="center"/>
    </xf>
    <xf numFmtId="167" fontId="45" fillId="44" borderId="1" xfId="32" applyNumberFormat="1" applyFont="1" applyFill="1" applyBorder="1" applyAlignment="1">
      <alignment horizontal="center" wrapText="1"/>
    </xf>
    <xf numFmtId="0" fontId="6" fillId="44" borderId="0" xfId="32" applyFont="1" applyFill="1" applyAlignment="1"/>
    <xf numFmtId="0" fontId="45" fillId="45" borderId="1" xfId="32" applyFont="1" applyFill="1" applyBorder="1" applyAlignment="1">
      <alignment horizontal="center"/>
    </xf>
    <xf numFmtId="0" fontId="57" fillId="45" borderId="1" xfId="32" applyFont="1" applyFill="1" applyBorder="1" applyAlignment="1">
      <alignment horizontal="left" vertical="center" wrapText="1" indent="1"/>
    </xf>
    <xf numFmtId="0" fontId="57" fillId="45" borderId="1" xfId="32" applyFont="1" applyFill="1" applyBorder="1" applyAlignment="1">
      <alignment horizontal="center"/>
    </xf>
    <xf numFmtId="167" fontId="45" fillId="45" borderId="1" xfId="32" applyNumberFormat="1" applyFont="1" applyFill="1" applyBorder="1" applyAlignment="1">
      <alignment horizontal="center" wrapText="1"/>
    </xf>
    <xf numFmtId="0" fontId="6" fillId="45" borderId="0" xfId="32" applyFont="1" applyFill="1" applyAlignment="1"/>
    <xf numFmtId="0" fontId="42" fillId="0" borderId="1" xfId="32" applyFont="1" applyBorder="1" applyAlignment="1">
      <alignment horizontal="left" vertical="center" wrapText="1" indent="1"/>
    </xf>
    <xf numFmtId="0" fontId="57" fillId="5" borderId="1" xfId="32" applyFont="1" applyFill="1" applyBorder="1" applyAlignment="1">
      <alignment horizontal="center" vertical="center"/>
    </xf>
    <xf numFmtId="167" fontId="45" fillId="5" borderId="1" xfId="32" applyNumberFormat="1" applyFont="1" applyFill="1" applyBorder="1" applyAlignment="1">
      <alignment horizontal="center" wrapText="1"/>
    </xf>
    <xf numFmtId="0" fontId="6" fillId="5" borderId="1" xfId="32" applyFont="1" applyFill="1" applyBorder="1"/>
    <xf numFmtId="0" fontId="46" fillId="22" borderId="1" xfId="32" applyFont="1" applyFill="1" applyBorder="1" applyAlignment="1">
      <alignment horizontal="center" vertical="center"/>
    </xf>
    <xf numFmtId="0" fontId="56" fillId="22" borderId="1" xfId="32" applyFont="1" applyFill="1" applyBorder="1" applyAlignment="1">
      <alignment horizontal="justify" vertical="center" wrapText="1"/>
    </xf>
    <xf numFmtId="0" fontId="57" fillId="22" borderId="1" xfId="32" applyFont="1" applyFill="1" applyBorder="1" applyAlignment="1">
      <alignment horizontal="center" vertical="center"/>
    </xf>
    <xf numFmtId="167" fontId="45" fillId="22" borderId="1" xfId="32" applyNumberFormat="1" applyFont="1" applyFill="1" applyBorder="1" applyAlignment="1">
      <alignment horizontal="center" wrapText="1"/>
    </xf>
    <xf numFmtId="0" fontId="6" fillId="22" borderId="0" xfId="32" applyFont="1" applyFill="1"/>
    <xf numFmtId="0" fontId="45" fillId="0" borderId="1" xfId="32" applyFont="1" applyFill="1" applyBorder="1" applyAlignment="1">
      <alignment horizontal="center" vertical="center"/>
    </xf>
    <xf numFmtId="0" fontId="57" fillId="0" borderId="1" xfId="32" applyFont="1" applyFill="1" applyBorder="1" applyAlignment="1">
      <alignment horizontal="left" vertical="center" wrapText="1" indent="1"/>
    </xf>
    <xf numFmtId="0" fontId="6" fillId="0" borderId="1" xfId="32" applyFont="1" applyFill="1" applyBorder="1"/>
    <xf numFmtId="0" fontId="6" fillId="0" borderId="0" xfId="32" applyFont="1" applyFill="1"/>
    <xf numFmtId="0" fontId="45" fillId="23" borderId="1" xfId="32" applyFont="1" applyFill="1" applyBorder="1" applyAlignment="1">
      <alignment horizontal="center" vertical="center"/>
    </xf>
    <xf numFmtId="0" fontId="57" fillId="23" borderId="1" xfId="32" applyFont="1" applyFill="1" applyBorder="1" applyAlignment="1">
      <alignment horizontal="left" vertical="center" wrapText="1" indent="1"/>
    </xf>
    <xf numFmtId="0" fontId="57" fillId="23" borderId="1" xfId="32" applyFont="1" applyFill="1" applyBorder="1" applyAlignment="1">
      <alignment horizontal="center" vertical="center"/>
    </xf>
    <xf numFmtId="167" fontId="45" fillId="23" borderId="1" xfId="32" applyNumberFormat="1" applyFont="1" applyFill="1" applyBorder="1" applyAlignment="1">
      <alignment horizontal="center" wrapText="1"/>
    </xf>
    <xf numFmtId="0" fontId="6" fillId="23" borderId="0" xfId="32" applyFont="1" applyFill="1"/>
    <xf numFmtId="4" fontId="45" fillId="5" borderId="1" xfId="32" applyNumberFormat="1" applyFont="1" applyFill="1" applyBorder="1" applyAlignment="1">
      <alignment horizontal="center" wrapText="1"/>
    </xf>
    <xf numFmtId="0" fontId="57" fillId="5" borderId="1" xfId="32" applyFont="1" applyFill="1" applyBorder="1" applyAlignment="1">
      <alignment horizontal="justify" vertical="center" wrapText="1"/>
    </xf>
    <xf numFmtId="0" fontId="16" fillId="7" borderId="15" xfId="0" applyFont="1" applyFill="1" applyBorder="1" applyAlignment="1">
      <alignment vertical="center" wrapText="1"/>
    </xf>
    <xf numFmtId="0" fontId="16" fillId="7" borderId="4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0" fontId="0" fillId="0" borderId="0" xfId="34" applyNumberFormat="1" applyFont="1"/>
    <xf numFmtId="4" fontId="26" fillId="16" borderId="89" xfId="32" applyNumberFormat="1" applyFont="1" applyFill="1" applyBorder="1" applyAlignment="1">
      <alignment vertical="center" wrapText="1"/>
    </xf>
    <xf numFmtId="4" fontId="2" fillId="0" borderId="90" xfId="32" applyNumberFormat="1" applyFont="1" applyFill="1" applyBorder="1"/>
    <xf numFmtId="0" fontId="26" fillId="5" borderId="86" xfId="32" applyFill="1" applyBorder="1" applyAlignment="1">
      <alignment horizontal="center" vertical="center" wrapText="1"/>
    </xf>
    <xf numFmtId="0" fontId="26" fillId="5" borderId="90" xfId="32" applyFill="1" applyBorder="1" applyAlignment="1">
      <alignment horizontal="center" vertical="center" wrapText="1"/>
    </xf>
    <xf numFmtId="4" fontId="26" fillId="5" borderId="88" xfId="32" applyNumberFormat="1" applyFill="1" applyBorder="1" applyAlignment="1">
      <alignment vertical="center" wrapText="1"/>
    </xf>
    <xf numFmtId="4" fontId="26" fillId="5" borderId="90" xfId="32" applyNumberFormat="1" applyFill="1" applyBorder="1" applyAlignment="1">
      <alignment vertical="center" wrapText="1"/>
    </xf>
    <xf numFmtId="4" fontId="1" fillId="5" borderId="72" xfId="32" applyNumberFormat="1" applyFont="1" applyFill="1" applyBorder="1" applyAlignment="1">
      <alignment vertical="center" wrapText="1"/>
    </xf>
    <xf numFmtId="4" fontId="26" fillId="5" borderId="90" xfId="32" applyNumberFormat="1" applyFill="1" applyBorder="1" applyAlignment="1">
      <alignment horizontal="right" vertical="center" wrapText="1"/>
    </xf>
    <xf numFmtId="4" fontId="1" fillId="0" borderId="30" xfId="32" applyNumberFormat="1" applyFont="1" applyFill="1" applyBorder="1" applyAlignment="1">
      <alignment vertical="center" wrapText="1"/>
    </xf>
    <xf numFmtId="4" fontId="1" fillId="0" borderId="3" xfId="32" applyNumberFormat="1" applyFont="1" applyFill="1" applyBorder="1" applyAlignment="1">
      <alignment vertical="center" wrapText="1"/>
    </xf>
    <xf numFmtId="4" fontId="1" fillId="0" borderId="23" xfId="32" applyNumberFormat="1" applyFont="1" applyFill="1" applyBorder="1" applyAlignment="1">
      <alignment vertical="center" wrapText="1"/>
    </xf>
    <xf numFmtId="4" fontId="26" fillId="0" borderId="1" xfId="32" applyNumberFormat="1" applyFill="1" applyBorder="1" applyAlignment="1">
      <alignment vertical="center" wrapText="1"/>
    </xf>
    <xf numFmtId="4" fontId="26" fillId="0" borderId="24" xfId="32" applyNumberFormat="1" applyFill="1" applyBorder="1" applyAlignment="1">
      <alignment vertical="center" wrapText="1"/>
    </xf>
    <xf numFmtId="4" fontId="26" fillId="0" borderId="62" xfId="32" applyNumberFormat="1" applyFill="1" applyBorder="1" applyAlignment="1">
      <alignment vertical="center" wrapText="1"/>
    </xf>
    <xf numFmtId="43" fontId="0" fillId="15" borderId="1" xfId="1" applyFont="1" applyFill="1" applyBorder="1" applyAlignment="1">
      <alignment vertical="center" wrapText="1"/>
    </xf>
    <xf numFmtId="4" fontId="1" fillId="7" borderId="42" xfId="1" applyNumberFormat="1" applyFont="1" applyFill="1" applyBorder="1" applyAlignment="1">
      <alignment horizontal="center" vertical="center" wrapText="1"/>
    </xf>
    <xf numFmtId="4" fontId="26" fillId="2" borderId="45" xfId="32" applyNumberFormat="1" applyFill="1" applyBorder="1" applyAlignment="1">
      <alignment vertical="center" wrapText="1"/>
    </xf>
    <xf numFmtId="4" fontId="26" fillId="5" borderId="45" xfId="32" applyNumberFormat="1" applyFill="1" applyBorder="1" applyAlignment="1">
      <alignment vertical="center" wrapText="1"/>
    </xf>
    <xf numFmtId="49" fontId="26" fillId="0" borderId="1" xfId="32" applyNumberFormat="1" applyBorder="1" applyAlignment="1">
      <alignment horizontal="center" vertical="center" wrapText="1"/>
    </xf>
    <xf numFmtId="49" fontId="1" fillId="2" borderId="10" xfId="32" applyNumberFormat="1" applyFont="1" applyFill="1" applyBorder="1" applyAlignment="1">
      <alignment horizontal="left" vertical="center" wrapText="1"/>
    </xf>
    <xf numFmtId="0" fontId="1" fillId="29" borderId="1" xfId="32" applyFont="1" applyFill="1" applyBorder="1" applyAlignment="1">
      <alignment vertical="center" wrapText="1"/>
    </xf>
    <xf numFmtId="169" fontId="26" fillId="0" borderId="0" xfId="34" applyNumberFormat="1"/>
    <xf numFmtId="4" fontId="1" fillId="0" borderId="0" xfId="32" applyNumberFormat="1" applyFont="1" applyFill="1" applyBorder="1" applyAlignment="1">
      <alignment vertical="center" wrapText="1"/>
    </xf>
    <xf numFmtId="43" fontId="1" fillId="6" borderId="1" xfId="1" applyFont="1" applyFill="1" applyBorder="1" applyAlignment="1">
      <alignment horizontal="right" vertical="center" wrapText="1"/>
    </xf>
    <xf numFmtId="4" fontId="26" fillId="0" borderId="45" xfId="32" applyNumberFormat="1" applyBorder="1" applyAlignment="1">
      <alignment vertical="center" wrapText="1"/>
    </xf>
    <xf numFmtId="49" fontId="3" fillId="2" borderId="58" xfId="32" applyNumberFormat="1" applyFont="1" applyFill="1" applyBorder="1" applyAlignment="1">
      <alignment horizontal="left" vertical="center" wrapText="1"/>
    </xf>
    <xf numFmtId="4" fontId="26" fillId="0" borderId="80" xfId="32" applyNumberFormat="1" applyBorder="1" applyAlignment="1">
      <alignment vertical="center" wrapText="1"/>
    </xf>
    <xf numFmtId="4" fontId="26" fillId="0" borderId="29" xfId="32" applyNumberFormat="1" applyBorder="1" applyAlignment="1">
      <alignment vertical="center" wrapText="1"/>
    </xf>
    <xf numFmtId="4" fontId="26" fillId="0" borderId="53" xfId="32" applyNumberFormat="1" applyBorder="1" applyAlignment="1">
      <alignment vertical="center" wrapText="1"/>
    </xf>
    <xf numFmtId="4" fontId="26" fillId="5" borderId="118" xfId="32" applyNumberFormat="1" applyFill="1" applyBorder="1" applyAlignment="1">
      <alignment vertical="center" wrapText="1"/>
    </xf>
    <xf numFmtId="4" fontId="26" fillId="2" borderId="114" xfId="32" applyNumberFormat="1" applyFill="1" applyBorder="1" applyAlignment="1">
      <alignment vertical="center" wrapText="1"/>
    </xf>
    <xf numFmtId="4" fontId="26" fillId="5" borderId="53" xfId="32" applyNumberFormat="1" applyFill="1" applyBorder="1" applyAlignment="1">
      <alignment vertical="center" wrapText="1"/>
    </xf>
    <xf numFmtId="4" fontId="26" fillId="0" borderId="52" xfId="32" applyNumberFormat="1" applyBorder="1" applyAlignment="1">
      <alignment vertical="center" wrapText="1"/>
    </xf>
    <xf numFmtId="4" fontId="26" fillId="34" borderId="53" xfId="32" applyNumberFormat="1" applyFill="1" applyBorder="1" applyAlignment="1">
      <alignment vertical="center" wrapText="1"/>
    </xf>
    <xf numFmtId="4" fontId="26" fillId="2" borderId="53" xfId="32" applyNumberFormat="1" applyFill="1" applyBorder="1" applyAlignment="1">
      <alignment vertical="center" wrapText="1"/>
    </xf>
    <xf numFmtId="4" fontId="26" fillId="5" borderId="52" xfId="32" applyNumberFormat="1" applyFill="1" applyBorder="1" applyAlignment="1">
      <alignment vertical="center" wrapText="1"/>
    </xf>
    <xf numFmtId="0" fontId="2" fillId="0" borderId="43" xfId="0" applyFont="1" applyBorder="1" applyAlignment="1">
      <alignment horizontal="left" vertical="center" wrapText="1"/>
    </xf>
    <xf numFmtId="43" fontId="0" fillId="0" borderId="15" xfId="1" applyFont="1" applyBorder="1" applyAlignment="1">
      <alignment vertical="center" wrapText="1"/>
    </xf>
    <xf numFmtId="43" fontId="0" fillId="0" borderId="74" xfId="1" applyFont="1" applyBorder="1" applyAlignment="1">
      <alignment vertical="center" wrapText="1"/>
    </xf>
    <xf numFmtId="43" fontId="0" fillId="0" borderId="64" xfId="1" applyFont="1" applyBorder="1" applyAlignment="1">
      <alignment horizontal="right"/>
    </xf>
    <xf numFmtId="43" fontId="0" fillId="0" borderId="96" xfId="1" applyFont="1" applyBorder="1" applyAlignment="1">
      <alignment horizontal="right"/>
    </xf>
    <xf numFmtId="43" fontId="0" fillId="7" borderId="43" xfId="1" applyFont="1" applyFill="1" applyBorder="1" applyAlignment="1">
      <alignment vertical="center" wrapText="1"/>
    </xf>
    <xf numFmtId="43" fontId="0" fillId="0" borderId="19" xfId="1" applyFont="1" applyBorder="1" applyAlignment="1">
      <alignment horizontal="center" vertical="center" wrapText="1"/>
    </xf>
    <xf numFmtId="43" fontId="1" fillId="2" borderId="51" xfId="1" applyFont="1" applyFill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0" fontId="1" fillId="0" borderId="114" xfId="0" applyFont="1" applyBorder="1" applyAlignment="1">
      <alignment horizontal="center"/>
    </xf>
    <xf numFmtId="43" fontId="0" fillId="15" borderId="1" xfId="0" applyNumberFormat="1" applyFill="1" applyBorder="1"/>
    <xf numFmtId="0" fontId="0" fillId="15" borderId="1" xfId="0" applyFill="1" applyBorder="1"/>
    <xf numFmtId="43" fontId="0" fillId="2" borderId="1" xfId="0" applyNumberFormat="1" applyFill="1" applyBorder="1"/>
    <xf numFmtId="43" fontId="1" fillId="2" borderId="1" xfId="0" applyNumberFormat="1" applyFont="1" applyFill="1" applyBorder="1"/>
    <xf numFmtId="49" fontId="0" fillId="15" borderId="1" xfId="0" applyNumberFormat="1" applyFill="1" applyBorder="1" applyAlignment="1">
      <alignment horizontal="center"/>
    </xf>
    <xf numFmtId="0" fontId="0" fillId="15" borderId="1" xfId="0" applyFill="1" applyBorder="1" applyAlignment="1">
      <alignment horizontal="left"/>
    </xf>
    <xf numFmtId="43" fontId="1" fillId="15" borderId="1" xfId="0" applyNumberFormat="1" applyFont="1" applyFill="1" applyBorder="1"/>
    <xf numFmtId="0" fontId="0" fillId="15" borderId="1" xfId="0" applyFill="1" applyBorder="1" applyAlignment="1">
      <alignment horizontal="left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0" fillId="15" borderId="1" xfId="0" applyNumberFormat="1" applyFont="1" applyFill="1" applyBorder="1"/>
    <xf numFmtId="0" fontId="1" fillId="7" borderId="4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0" fillId="2" borderId="1" xfId="0" applyFill="1" applyBorder="1" applyAlignment="1">
      <alignment horizontal="right"/>
    </xf>
    <xf numFmtId="0" fontId="2" fillId="2" borderId="1" xfId="0" applyFont="1" applyFill="1" applyBorder="1" applyAlignment="1">
      <alignment horizontal="left" wrapText="1"/>
    </xf>
    <xf numFmtId="0" fontId="1" fillId="2" borderId="68" xfId="0" applyFont="1" applyFill="1" applyBorder="1"/>
    <xf numFmtId="43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right" wrapText="1"/>
    </xf>
    <xf numFmtId="10" fontId="0" fillId="0" borderId="1" xfId="34" applyNumberFormat="1" applyFont="1" applyBorder="1"/>
    <xf numFmtId="0" fontId="2" fillId="0" borderId="1" xfId="0" applyFont="1" applyBorder="1" applyAlignment="1">
      <alignment horizontal="center" wrapText="1"/>
    </xf>
    <xf numFmtId="0" fontId="0" fillId="31" borderId="1" xfId="0" applyFill="1" applyBorder="1" applyAlignment="1">
      <alignment horizontal="left" wrapText="1"/>
    </xf>
    <xf numFmtId="0" fontId="0" fillId="31" borderId="1" xfId="0" applyFill="1" applyBorder="1"/>
    <xf numFmtId="0" fontId="0" fillId="31" borderId="90" xfId="0" applyFill="1" applyBorder="1"/>
    <xf numFmtId="4" fontId="0" fillId="31" borderId="1" xfId="0" applyNumberFormat="1" applyFill="1" applyBorder="1"/>
    <xf numFmtId="10" fontId="15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175" fontId="0" fillId="0" borderId="1" xfId="0" applyNumberFormat="1" applyBorder="1" applyAlignment="1">
      <alignment wrapText="1"/>
    </xf>
    <xf numFmtId="4" fontId="19" fillId="6" borderId="51" xfId="0" applyNumberFormat="1" applyFont="1" applyFill="1" applyBorder="1"/>
    <xf numFmtId="4" fontId="19" fillId="6" borderId="51" xfId="0" applyNumberFormat="1" applyFont="1" applyFill="1" applyBorder="1" applyAlignment="1">
      <alignment horizontal="center"/>
    </xf>
    <xf numFmtId="4" fontId="19" fillId="6" borderId="78" xfId="0" applyNumberFormat="1" applyFont="1" applyFill="1" applyBorder="1" applyAlignment="1">
      <alignment horizontal="center"/>
    </xf>
    <xf numFmtId="4" fontId="0" fillId="2" borderId="25" xfId="0" applyNumberFormat="1" applyFill="1" applyBorder="1"/>
    <xf numFmtId="43" fontId="1" fillId="0" borderId="0" xfId="0" applyNumberFormat="1" applyFont="1" applyFill="1" applyBorder="1" applyAlignment="1"/>
    <xf numFmtId="4" fontId="0" fillId="2" borderId="91" xfId="0" applyNumberFormat="1" applyFill="1" applyBorder="1"/>
    <xf numFmtId="4" fontId="0" fillId="2" borderId="92" xfId="0" applyNumberFormat="1" applyFill="1" applyBorder="1"/>
    <xf numFmtId="0" fontId="1" fillId="0" borderId="24" xfId="0" applyFont="1" applyFill="1" applyBorder="1"/>
    <xf numFmtId="4" fontId="1" fillId="8" borderId="24" xfId="0" applyNumberFormat="1" applyFont="1" applyFill="1" applyBorder="1"/>
    <xf numFmtId="4" fontId="1" fillId="0" borderId="24" xfId="0" applyNumberFormat="1" applyFont="1" applyFill="1" applyBorder="1"/>
    <xf numFmtId="4" fontId="1" fillId="6" borderId="78" xfId="0" applyNumberFormat="1" applyFont="1" applyFill="1" applyBorder="1"/>
    <xf numFmtId="4" fontId="73" fillId="0" borderId="0" xfId="0" applyNumberFormat="1" applyFont="1" applyFill="1" applyBorder="1" applyAlignment="1">
      <alignment wrapText="1"/>
    </xf>
    <xf numFmtId="0" fontId="0" fillId="0" borderId="0" xfId="0" applyNumberFormat="1" applyFill="1" applyBorder="1" applyAlignment="1">
      <alignment horizontal="center"/>
    </xf>
    <xf numFmtId="173" fontId="1" fillId="0" borderId="0" xfId="0" applyNumberFormat="1" applyFont="1" applyFill="1" applyBorder="1"/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1" fillId="0" borderId="89" xfId="0" applyFont="1" applyFill="1" applyBorder="1"/>
    <xf numFmtId="4" fontId="1" fillId="8" borderId="90" xfId="0" applyNumberFormat="1" applyFont="1" applyFill="1" applyBorder="1"/>
    <xf numFmtId="164" fontId="0" fillId="0" borderId="82" xfId="0" applyNumberFormat="1" applyBorder="1"/>
    <xf numFmtId="2" fontId="0" fillId="0" borderId="82" xfId="0" applyNumberFormat="1" applyBorder="1"/>
    <xf numFmtId="4" fontId="1" fillId="31" borderId="85" xfId="0" applyNumberFormat="1" applyFont="1" applyFill="1" applyBorder="1" applyAlignment="1">
      <alignment horizontal="left"/>
    </xf>
    <xf numFmtId="4" fontId="1" fillId="31" borderId="15" xfId="0" applyNumberFormat="1" applyFont="1" applyFill="1" applyBorder="1" applyAlignment="1">
      <alignment vertical="center" wrapText="1"/>
    </xf>
    <xf numFmtId="4" fontId="1" fillId="31" borderId="15" xfId="0" applyNumberFormat="1" applyFont="1" applyFill="1" applyBorder="1" applyAlignment="1">
      <alignment horizontal="center"/>
    </xf>
    <xf numFmtId="4" fontId="1" fillId="31" borderId="15" xfId="0" applyNumberFormat="1" applyFont="1" applyFill="1" applyBorder="1"/>
    <xf numFmtId="4" fontId="1" fillId="31" borderId="21" xfId="0" applyNumberFormat="1" applyFont="1" applyFill="1" applyBorder="1"/>
    <xf numFmtId="4" fontId="1" fillId="31" borderId="86" xfId="0" applyNumberFormat="1" applyFont="1" applyFill="1" applyBorder="1"/>
    <xf numFmtId="4" fontId="1" fillId="31" borderId="45" xfId="0" applyNumberFormat="1" applyFont="1" applyFill="1" applyBorder="1"/>
    <xf numFmtId="4" fontId="1" fillId="31" borderId="1" xfId="0" applyNumberFormat="1" applyFont="1" applyFill="1" applyBorder="1" applyAlignment="1">
      <alignment horizontal="left"/>
    </xf>
    <xf numFmtId="4" fontId="1" fillId="31" borderId="1" xfId="0" applyNumberFormat="1" applyFont="1" applyFill="1" applyBorder="1" applyAlignment="1">
      <alignment vertical="center" wrapText="1"/>
    </xf>
    <xf numFmtId="4" fontId="1" fillId="31" borderId="1" xfId="0" applyNumberFormat="1" applyFont="1" applyFill="1" applyBorder="1" applyAlignment="1">
      <alignment horizontal="center"/>
    </xf>
    <xf numFmtId="4" fontId="1" fillId="31" borderId="24" xfId="0" applyNumberFormat="1" applyFont="1" applyFill="1" applyBorder="1"/>
    <xf numFmtId="4" fontId="1" fillId="31" borderId="89" xfId="0" applyNumberFormat="1" applyFont="1" applyFill="1" applyBorder="1"/>
    <xf numFmtId="4" fontId="1" fillId="31" borderId="90" xfId="0" applyNumberFormat="1" applyFont="1" applyFill="1" applyBorder="1"/>
    <xf numFmtId="4" fontId="28" fillId="0" borderId="24" xfId="2" applyNumberFormat="1" applyFont="1" applyBorder="1" applyAlignment="1">
      <alignment horizontal="right" vertical="top" wrapText="1"/>
    </xf>
    <xf numFmtId="0" fontId="1" fillId="2" borderId="24" xfId="0" applyFont="1" applyFill="1" applyBorder="1"/>
    <xf numFmtId="4" fontId="0" fillId="0" borderId="24" xfId="0" applyNumberFormat="1" applyFont="1" applyFill="1" applyBorder="1"/>
    <xf numFmtId="0" fontId="1" fillId="0" borderId="25" xfId="0" applyFont="1" applyFill="1" applyBorder="1"/>
    <xf numFmtId="4" fontId="0" fillId="0" borderId="31" xfId="0" applyNumberFormat="1" applyFont="1" applyBorder="1"/>
    <xf numFmtId="4" fontId="0" fillId="0" borderId="89" xfId="0" applyNumberFormat="1" applyFont="1" applyFill="1" applyBorder="1"/>
    <xf numFmtId="0" fontId="1" fillId="0" borderId="91" xfId="0" applyFont="1" applyFill="1" applyBorder="1"/>
    <xf numFmtId="4" fontId="0" fillId="0" borderId="0" xfId="0" applyNumberFormat="1" applyFont="1" applyFill="1" applyBorder="1"/>
    <xf numFmtId="4" fontId="0" fillId="0" borderId="24" xfId="0" applyNumberFormat="1" applyBorder="1" applyAlignment="1">
      <alignment horizontal="center" vertical="center" wrapText="1"/>
    </xf>
    <xf numFmtId="4" fontId="0" fillId="0" borderId="24" xfId="0" applyNumberFormat="1" applyFont="1" applyBorder="1" applyAlignment="1">
      <alignment horizontal="center" vertical="center" wrapText="1"/>
    </xf>
    <xf numFmtId="4" fontId="1" fillId="0" borderId="24" xfId="0" applyNumberFormat="1" applyFont="1" applyBorder="1" applyAlignment="1">
      <alignment horizontal="center" vertical="center" wrapText="1"/>
    </xf>
    <xf numFmtId="4" fontId="0" fillId="0" borderId="89" xfId="0" applyNumberFormat="1" applyBorder="1" applyAlignment="1">
      <alignment horizontal="center" vertical="center" wrapText="1"/>
    </xf>
    <xf numFmtId="4" fontId="0" fillId="0" borderId="90" xfId="0" applyNumberFormat="1" applyBorder="1" applyAlignment="1">
      <alignment horizontal="center"/>
    </xf>
    <xf numFmtId="4" fontId="0" fillId="0" borderId="89" xfId="0" applyNumberFormat="1" applyFont="1" applyBorder="1" applyAlignment="1">
      <alignment horizontal="center" vertical="center" wrapText="1"/>
    </xf>
    <xf numFmtId="4" fontId="1" fillId="0" borderId="89" xfId="0" applyNumberFormat="1" applyFont="1" applyBorder="1" applyAlignment="1">
      <alignment horizontal="center" vertical="center" wrapText="1"/>
    </xf>
    <xf numFmtId="0" fontId="1" fillId="0" borderId="90" xfId="0" applyFont="1" applyBorder="1" applyAlignment="1">
      <alignment horizontal="center" vertical="center" wrapText="1"/>
    </xf>
    <xf numFmtId="0" fontId="1" fillId="2" borderId="90" xfId="0" applyFont="1" applyFill="1" applyBorder="1" applyAlignment="1">
      <alignment horizontal="center" vertical="center" wrapText="1"/>
    </xf>
    <xf numFmtId="10" fontId="1" fillId="0" borderId="90" xfId="0" applyNumberFormat="1" applyFont="1" applyFill="1" applyBorder="1"/>
    <xf numFmtId="0" fontId="1" fillId="0" borderId="86" xfId="0" applyFont="1" applyFill="1" applyBorder="1"/>
    <xf numFmtId="10" fontId="1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center" vertical="center" wrapText="1"/>
    </xf>
    <xf numFmtId="4" fontId="1" fillId="2" borderId="24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vertical="center" wrapText="1"/>
    </xf>
    <xf numFmtId="173" fontId="1" fillId="0" borderId="0" xfId="0" applyNumberFormat="1" applyFont="1" applyFill="1" applyBorder="1" applyAlignment="1">
      <alignment vertical="center"/>
    </xf>
    <xf numFmtId="173" fontId="0" fillId="0" borderId="0" xfId="0" applyNumberFormat="1" applyFill="1" applyBorder="1"/>
    <xf numFmtId="4" fontId="0" fillId="0" borderId="0" xfId="0" applyNumberForma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vertical="center" wrapText="1"/>
    </xf>
    <xf numFmtId="0" fontId="1" fillId="0" borderId="89" xfId="0" applyFont="1" applyFill="1" applyBorder="1" applyAlignment="1">
      <alignment vertical="center" wrapText="1"/>
    </xf>
    <xf numFmtId="0" fontId="0" fillId="0" borderId="90" xfId="0" applyFill="1" applyBorder="1"/>
    <xf numFmtId="4" fontId="0" fillId="0" borderId="89" xfId="0" applyNumberFormat="1" applyBorder="1" applyAlignment="1">
      <alignment vertical="center" wrapText="1"/>
    </xf>
    <xf numFmtId="4" fontId="1" fillId="2" borderId="89" xfId="0" applyNumberFormat="1" applyFont="1" applyFill="1" applyBorder="1" applyAlignment="1">
      <alignment horizontal="right" vertical="center" wrapText="1"/>
    </xf>
    <xf numFmtId="4" fontId="0" fillId="0" borderId="24" xfId="0" applyNumberFormat="1" applyBorder="1" applyAlignment="1">
      <alignment horizontal="right"/>
    </xf>
    <xf numFmtId="4" fontId="0" fillId="0" borderId="25" xfId="0" applyNumberFormat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43" fontId="1" fillId="0" borderId="0" xfId="0" applyNumberFormat="1" applyFont="1" applyFill="1" applyBorder="1" applyAlignment="1">
      <alignment vertical="center"/>
    </xf>
    <xf numFmtId="4" fontId="0" fillId="0" borderId="89" xfId="0" applyNumberFormat="1" applyBorder="1" applyAlignment="1">
      <alignment horizontal="right"/>
    </xf>
    <xf numFmtId="4" fontId="0" fillId="0" borderId="91" xfId="0" applyNumberFormat="1" applyBorder="1" applyAlignment="1">
      <alignment horizontal="right"/>
    </xf>
    <xf numFmtId="2" fontId="1" fillId="2" borderId="1" xfId="0" applyNumberFormat="1" applyFont="1" applyFill="1" applyBorder="1"/>
    <xf numFmtId="4" fontId="24" fillId="6" borderId="42" xfId="0" applyNumberFormat="1" applyFont="1" applyFill="1" applyBorder="1" applyAlignment="1">
      <alignment horizontal="center" vertical="center" wrapText="1"/>
    </xf>
    <xf numFmtId="4" fontId="1" fillId="6" borderId="8" xfId="32" applyNumberFormat="1" applyFont="1" applyFill="1" applyBorder="1" applyAlignment="1">
      <alignment horizontal="center"/>
    </xf>
    <xf numFmtId="4" fontId="1" fillId="6" borderId="22" xfId="32" applyNumberFormat="1" applyFont="1" applyFill="1" applyBorder="1" applyAlignment="1">
      <alignment horizontal="center"/>
    </xf>
    <xf numFmtId="4" fontId="1" fillId="6" borderId="14" xfId="32" applyNumberFormat="1" applyFont="1" applyFill="1" applyBorder="1" applyAlignment="1">
      <alignment horizontal="center"/>
    </xf>
    <xf numFmtId="4" fontId="0" fillId="0" borderId="15" xfId="0" applyNumberFormat="1" applyBorder="1" applyAlignment="1">
      <alignment horizontal="center" vertical="center" wrapText="1"/>
    </xf>
    <xf numFmtId="4" fontId="0" fillId="0" borderId="43" xfId="0" applyNumberFormat="1" applyBorder="1" applyAlignment="1">
      <alignment horizontal="center" vertical="center" wrapText="1"/>
    </xf>
    <xf numFmtId="4" fontId="0" fillId="5" borderId="15" xfId="0" applyNumberFormat="1" applyFill="1" applyBorder="1" applyAlignment="1">
      <alignment horizontal="center" vertical="center" wrapText="1"/>
    </xf>
    <xf numFmtId="4" fontId="0" fillId="0" borderId="21" xfId="0" applyNumberForma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4" fontId="0" fillId="5" borderId="19" xfId="0" applyNumberFormat="1" applyFill="1" applyBorder="1" applyAlignment="1">
      <alignment horizontal="center" vertical="center" wrapText="1"/>
    </xf>
    <xf numFmtId="4" fontId="0" fillId="0" borderId="19" xfId="0" applyNumberFormat="1" applyBorder="1" applyAlignment="1">
      <alignment horizontal="center" vertical="center" wrapText="1"/>
    </xf>
    <xf numFmtId="4" fontId="1" fillId="6" borderId="22" xfId="0" applyNumberFormat="1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4" fontId="1" fillId="0" borderId="0" xfId="0" applyNumberFormat="1" applyFont="1" applyFill="1" applyBorder="1" applyAlignment="1">
      <alignment horizontal="center"/>
    </xf>
    <xf numFmtId="4" fontId="1" fillId="6" borderId="8" xfId="0" applyNumberFormat="1" applyFont="1" applyFill="1" applyBorder="1" applyAlignment="1">
      <alignment horizontal="center"/>
    </xf>
    <xf numFmtId="4" fontId="1" fillId="0" borderId="43" xfId="0" applyNumberFormat="1" applyFont="1" applyFill="1" applyBorder="1" applyAlignment="1">
      <alignment horizontal="center" vertical="center" wrapText="1"/>
    </xf>
    <xf numFmtId="4" fontId="1" fillId="0" borderId="74" xfId="0" applyNumberFormat="1" applyFont="1" applyFill="1" applyBorder="1" applyAlignment="1">
      <alignment horizontal="center" vertical="center" wrapText="1"/>
    </xf>
    <xf numFmtId="4" fontId="1" fillId="0" borderId="64" xfId="0" applyNumberFormat="1" applyFont="1" applyFill="1" applyBorder="1" applyAlignment="1">
      <alignment horizontal="center" vertical="center" wrapText="1"/>
    </xf>
    <xf numFmtId="4" fontId="1" fillId="0" borderId="44" xfId="0" applyNumberFormat="1" applyFont="1" applyFill="1" applyBorder="1" applyAlignment="1">
      <alignment horizontal="center" vertical="center" wrapText="1"/>
    </xf>
    <xf numFmtId="4" fontId="0" fillId="0" borderId="43" xfId="0" applyNumberFormat="1" applyFont="1" applyFill="1" applyBorder="1" applyAlignment="1">
      <alignment horizontal="center" vertical="center" wrapText="1"/>
    </xf>
    <xf numFmtId="4" fontId="0" fillId="0" borderId="40" xfId="0" applyNumberFormat="1" applyFont="1" applyFill="1" applyBorder="1" applyAlignment="1">
      <alignment horizontal="center" vertical="center" wrapText="1"/>
    </xf>
    <xf numFmtId="4" fontId="1" fillId="5" borderId="30" xfId="0" applyNumberFormat="1" applyFont="1" applyFill="1" applyBorder="1" applyAlignment="1">
      <alignment horizontal="center" vertical="center"/>
    </xf>
    <xf numFmtId="4" fontId="1" fillId="7" borderId="40" xfId="0" applyNumberFormat="1" applyFont="1" applyFill="1" applyBorder="1" applyAlignment="1">
      <alignment horizontal="center" vertical="center"/>
    </xf>
    <xf numFmtId="4" fontId="1" fillId="5" borderId="42" xfId="0" applyNumberFormat="1" applyFont="1" applyFill="1" applyBorder="1" applyAlignment="1">
      <alignment horizontal="center" vertical="center"/>
    </xf>
    <xf numFmtId="0" fontId="6" fillId="0" borderId="24" xfId="32" applyFont="1" applyBorder="1"/>
    <xf numFmtId="0" fontId="6" fillId="0" borderId="24" xfId="32" applyFont="1" applyBorder="1" applyAlignment="1">
      <alignment wrapText="1"/>
    </xf>
    <xf numFmtId="0" fontId="6" fillId="5" borderId="24" xfId="32" applyFont="1" applyFill="1" applyBorder="1"/>
    <xf numFmtId="0" fontId="6" fillId="0" borderId="24" xfId="32" applyFont="1" applyFill="1" applyBorder="1"/>
    <xf numFmtId="0" fontId="6" fillId="2" borderId="1" xfId="32" applyFont="1" applyFill="1" applyBorder="1"/>
    <xf numFmtId="0" fontId="6" fillId="0" borderId="1" xfId="32" applyFont="1" applyBorder="1" applyAlignment="1"/>
    <xf numFmtId="0" fontId="6" fillId="43" borderId="1" xfId="32" applyFont="1" applyFill="1" applyBorder="1" applyAlignment="1"/>
    <xf numFmtId="0" fontId="6" fillId="44" borderId="1" xfId="32" applyFont="1" applyFill="1" applyBorder="1" applyAlignment="1"/>
    <xf numFmtId="0" fontId="6" fillId="45" borderId="1" xfId="32" applyFont="1" applyFill="1" applyBorder="1" applyAlignment="1"/>
    <xf numFmtId="0" fontId="6" fillId="22" borderId="1" xfId="32" applyFont="1" applyFill="1" applyBorder="1"/>
    <xf numFmtId="0" fontId="6" fillId="23" borderId="1" xfId="32" applyFont="1" applyFill="1" applyBorder="1"/>
    <xf numFmtId="0" fontId="6" fillId="0" borderId="17" xfId="32" applyFont="1" applyBorder="1" applyAlignment="1">
      <alignment horizontal="center" vertical="center"/>
    </xf>
    <xf numFmtId="0" fontId="6" fillId="0" borderId="18" xfId="32" applyFont="1" applyBorder="1" applyAlignment="1">
      <alignment horizontal="center" vertical="center"/>
    </xf>
    <xf numFmtId="0" fontId="6" fillId="0" borderId="50" xfId="32" applyFont="1" applyBorder="1" applyAlignment="1">
      <alignment horizontal="center" vertical="center"/>
    </xf>
    <xf numFmtId="167" fontId="6" fillId="0" borderId="1" xfId="32" applyNumberFormat="1" applyFont="1" applyBorder="1"/>
    <xf numFmtId="4" fontId="6" fillId="0" borderId="1" xfId="32" applyNumberFormat="1" applyFont="1" applyBorder="1"/>
    <xf numFmtId="4" fontId="6" fillId="2" borderId="1" xfId="32" applyNumberFormat="1" applyFont="1" applyFill="1" applyBorder="1"/>
    <xf numFmtId="164" fontId="6" fillId="0" borderId="1" xfId="32" applyNumberFormat="1" applyFont="1" applyBorder="1" applyAlignment="1"/>
    <xf numFmtId="164" fontId="6" fillId="0" borderId="1" xfId="32" applyNumberFormat="1" applyFont="1" applyBorder="1"/>
    <xf numFmtId="167" fontId="6" fillId="2" borderId="1" xfId="32" applyNumberFormat="1" applyFont="1" applyFill="1" applyBorder="1"/>
    <xf numFmtId="4" fontId="6" fillId="0" borderId="1" xfId="32" applyNumberFormat="1" applyFont="1" applyFill="1" applyBorder="1"/>
    <xf numFmtId="175" fontId="6" fillId="2" borderId="1" xfId="32" applyNumberFormat="1" applyFont="1" applyFill="1" applyBorder="1"/>
    <xf numFmtId="164" fontId="0" fillId="0" borderId="0" xfId="0" applyNumberFormat="1" applyFill="1" applyBorder="1"/>
    <xf numFmtId="164" fontId="0" fillId="0" borderId="0" xfId="0" applyNumberFormat="1"/>
    <xf numFmtId="0" fontId="0" fillId="5" borderId="3" xfId="0" applyFill="1" applyBorder="1"/>
    <xf numFmtId="3" fontId="0" fillId="5" borderId="1" xfId="0" applyNumberFormat="1" applyFill="1" applyBorder="1"/>
    <xf numFmtId="49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left" wrapText="1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175" fontId="0" fillId="5" borderId="1" xfId="0" applyNumberFormat="1" applyFill="1" applyBorder="1"/>
    <xf numFmtId="0" fontId="3" fillId="7" borderId="12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center" wrapText="1"/>
    </xf>
    <xf numFmtId="0" fontId="0" fillId="46" borderId="1" xfId="0" applyFill="1" applyBorder="1" applyAlignment="1">
      <alignment horizontal="center"/>
    </xf>
    <xf numFmtId="0" fontId="0" fillId="46" borderId="1" xfId="0" applyFill="1" applyBorder="1" applyAlignment="1">
      <alignment horizontal="left" wrapText="1"/>
    </xf>
    <xf numFmtId="0" fontId="0" fillId="46" borderId="1" xfId="0" applyFill="1" applyBorder="1"/>
    <xf numFmtId="4" fontId="0" fillId="46" borderId="1" xfId="0" applyNumberFormat="1" applyFill="1" applyBorder="1"/>
    <xf numFmtId="0" fontId="17" fillId="46" borderId="1" xfId="0" applyFont="1" applyFill="1" applyBorder="1" applyAlignment="1">
      <alignment horizontal="left" wrapText="1"/>
    </xf>
    <xf numFmtId="49" fontId="1" fillId="46" borderId="1" xfId="0" applyNumberFormat="1" applyFont="1" applyFill="1" applyBorder="1" applyAlignment="1">
      <alignment horizontal="center"/>
    </xf>
    <xf numFmtId="0" fontId="1" fillId="46" borderId="1" xfId="0" applyFont="1" applyFill="1" applyBorder="1" applyAlignment="1">
      <alignment horizontal="left" wrapText="1"/>
    </xf>
    <xf numFmtId="0" fontId="1" fillId="46" borderId="1" xfId="0" applyFont="1" applyFill="1" applyBorder="1"/>
    <xf numFmtId="4" fontId="1" fillId="46" borderId="1" xfId="0" applyNumberFormat="1" applyFont="1" applyFill="1" applyBorder="1"/>
    <xf numFmtId="0" fontId="1" fillId="46" borderId="1" xfId="0" applyFont="1" applyFill="1" applyBorder="1" applyAlignment="1">
      <alignment horizontal="center"/>
    </xf>
    <xf numFmtId="0" fontId="9" fillId="46" borderId="1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right"/>
    </xf>
    <xf numFmtId="4" fontId="0" fillId="0" borderId="68" xfId="0" applyNumberFormat="1" applyBorder="1"/>
    <xf numFmtId="49" fontId="0" fillId="41" borderId="89" xfId="0" applyNumberFormat="1" applyFill="1" applyBorder="1" applyAlignment="1">
      <alignment horizontal="left"/>
    </xf>
    <xf numFmtId="0" fontId="0" fillId="41" borderId="1" xfId="0" applyFill="1" applyBorder="1"/>
    <xf numFmtId="1" fontId="0" fillId="41" borderId="1" xfId="0" applyNumberFormat="1" applyFill="1" applyBorder="1"/>
    <xf numFmtId="168" fontId="0" fillId="41" borderId="1" xfId="0" applyNumberFormat="1" applyFill="1" applyBorder="1"/>
    <xf numFmtId="169" fontId="0" fillId="41" borderId="1" xfId="34" applyNumberFormat="1" applyFont="1" applyFill="1" applyBorder="1"/>
    <xf numFmtId="0" fontId="0" fillId="41" borderId="90" xfId="0" applyFill="1" applyBorder="1"/>
    <xf numFmtId="0" fontId="1" fillId="41" borderId="1" xfId="0" applyFont="1" applyFill="1" applyBorder="1" applyAlignment="1">
      <alignment wrapText="1"/>
    </xf>
    <xf numFmtId="0" fontId="40" fillId="0" borderId="1" xfId="0" applyFont="1" applyBorder="1" applyAlignment="1">
      <alignment horizontal="center" vertical="center" wrapText="1"/>
    </xf>
    <xf numFmtId="167" fontId="75" fillId="2" borderId="24" xfId="0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167" fontId="6" fillId="5" borderId="1" xfId="32" applyNumberFormat="1" applyFont="1" applyFill="1" applyBorder="1"/>
    <xf numFmtId="167" fontId="26" fillId="0" borderId="89" xfId="32" applyNumberFormat="1" applyBorder="1" applyAlignment="1">
      <alignment vertical="center" wrapText="1"/>
    </xf>
    <xf numFmtId="167" fontId="26" fillId="0" borderId="0" xfId="32" applyNumberFormat="1"/>
    <xf numFmtId="164" fontId="26" fillId="0" borderId="0" xfId="32" applyNumberFormat="1"/>
    <xf numFmtId="181" fontId="0" fillId="0" borderId="1" xfId="0" applyNumberFormat="1" applyBorder="1"/>
    <xf numFmtId="4" fontId="0" fillId="0" borderId="1" xfId="0" applyNumberFormat="1" applyBorder="1" applyAlignment="1">
      <alignment vertical="center"/>
    </xf>
    <xf numFmtId="4" fontId="0" fillId="0" borderId="89" xfId="0" applyNumberFormat="1" applyBorder="1" applyAlignment="1">
      <alignment vertical="center"/>
    </xf>
    <xf numFmtId="4" fontId="0" fillId="0" borderId="90" xfId="0" applyNumberFormat="1" applyBorder="1" applyAlignment="1">
      <alignment vertical="center"/>
    </xf>
    <xf numFmtId="4" fontId="0" fillId="0" borderId="82" xfId="0" applyNumberFormat="1" applyBorder="1" applyAlignment="1">
      <alignment vertical="center"/>
    </xf>
    <xf numFmtId="0" fontId="57" fillId="0" borderId="23" xfId="0" applyFont="1" applyBorder="1" applyAlignment="1">
      <alignment horizontal="center" vertical="center" wrapText="1"/>
    </xf>
    <xf numFmtId="0" fontId="93" fillId="2" borderId="24" xfId="0" applyFont="1" applyFill="1" applyBorder="1" applyAlignment="1">
      <alignment horizontal="justify" vertical="center"/>
    </xf>
    <xf numFmtId="167" fontId="45" fillId="0" borderId="24" xfId="0" applyNumberFormat="1" applyFont="1" applyBorder="1" applyAlignment="1">
      <alignment horizontal="center" wrapText="1"/>
    </xf>
    <xf numFmtId="167" fontId="75" fillId="0" borderId="24" xfId="0" applyNumberFormat="1" applyFont="1" applyBorder="1" applyAlignment="1">
      <alignment horizontal="center" wrapText="1"/>
    </xf>
    <xf numFmtId="167" fontId="45" fillId="0" borderId="25" xfId="0" applyNumberFormat="1" applyFont="1" applyBorder="1" applyAlignment="1">
      <alignment horizontal="center" wrapText="1"/>
    </xf>
    <xf numFmtId="167" fontId="50" fillId="5" borderId="24" xfId="0" applyNumberFormat="1" applyFont="1" applyFill="1" applyBorder="1" applyAlignment="1">
      <alignment horizontal="center" wrapText="1"/>
    </xf>
    <xf numFmtId="0" fontId="56" fillId="24" borderId="23" xfId="0" applyFont="1" applyFill="1" applyBorder="1" applyAlignment="1">
      <alignment horizontal="center" vertical="center" wrapText="1"/>
    </xf>
    <xf numFmtId="0" fontId="61" fillId="25" borderId="24" xfId="0" applyFont="1" applyFill="1" applyBorder="1" applyAlignment="1">
      <alignment horizontal="justify" vertical="center"/>
    </xf>
    <xf numFmtId="169" fontId="42" fillId="5" borderId="24" xfId="34" applyNumberFormat="1" applyFont="1" applyFill="1" applyBorder="1" applyAlignment="1">
      <alignment horizontal="right" vertical="center" wrapText="1"/>
    </xf>
    <xf numFmtId="167" fontId="45" fillId="0" borderId="24" xfId="0" applyNumberFormat="1" applyFont="1" applyFill="1" applyBorder="1" applyAlignment="1">
      <alignment horizontal="center" wrapText="1"/>
    </xf>
    <xf numFmtId="0" fontId="56" fillId="26" borderId="24" xfId="0" applyFont="1" applyFill="1" applyBorder="1" applyAlignment="1">
      <alignment horizontal="center" vertical="center" wrapText="1"/>
    </xf>
    <xf numFmtId="0" fontId="57" fillId="25" borderId="24" xfId="0" applyFont="1" applyFill="1" applyBorder="1" applyAlignment="1">
      <alignment horizontal="justify" vertical="center"/>
    </xf>
    <xf numFmtId="0" fontId="56" fillId="2" borderId="24" xfId="0" applyFont="1" applyFill="1" applyBorder="1" applyAlignment="1">
      <alignment horizontal="justify" vertical="center"/>
    </xf>
    <xf numFmtId="167" fontId="75" fillId="0" borderId="24" xfId="0" applyNumberFormat="1" applyFont="1" applyFill="1" applyBorder="1" applyAlignment="1">
      <alignment horizontal="center" wrapText="1"/>
    </xf>
    <xf numFmtId="167" fontId="75" fillId="2" borderId="24" xfId="0" applyNumberFormat="1" applyFont="1" applyFill="1" applyBorder="1" applyAlignment="1">
      <alignment horizontal="center" vertical="center"/>
    </xf>
    <xf numFmtId="167" fontId="56" fillId="2" borderId="24" xfId="0" applyNumberFormat="1" applyFont="1" applyFill="1" applyBorder="1" applyAlignment="1">
      <alignment horizontal="center" vertical="center" wrapText="1"/>
    </xf>
    <xf numFmtId="10" fontId="57" fillId="2" borderId="3" xfId="34" applyNumberFormat="1" applyFont="1" applyFill="1" applyBorder="1" applyAlignment="1">
      <alignment horizontal="center" vertical="center"/>
    </xf>
    <xf numFmtId="0" fontId="40" fillId="0" borderId="89" xfId="0" applyFont="1" applyBorder="1" applyAlignment="1">
      <alignment horizontal="center" vertical="center" wrapText="1"/>
    </xf>
    <xf numFmtId="0" fontId="40" fillId="0" borderId="90" xfId="0" applyFont="1" applyBorder="1" applyAlignment="1">
      <alignment horizontal="center" vertical="center" wrapText="1"/>
    </xf>
    <xf numFmtId="0" fontId="57" fillId="0" borderId="87" xfId="0" applyFont="1" applyBorder="1" applyAlignment="1">
      <alignment horizontal="center" vertical="center" wrapText="1"/>
    </xf>
    <xf numFmtId="0" fontId="57" fillId="0" borderId="88" xfId="0" applyFont="1" applyBorder="1" applyAlignment="1">
      <alignment horizontal="center" vertical="center" wrapText="1"/>
    </xf>
    <xf numFmtId="0" fontId="93" fillId="2" borderId="89" xfId="0" applyFont="1" applyFill="1" applyBorder="1" applyAlignment="1">
      <alignment horizontal="justify" vertical="center"/>
    </xf>
    <xf numFmtId="167" fontId="45" fillId="0" borderId="89" xfId="0" applyNumberFormat="1" applyFont="1" applyBorder="1" applyAlignment="1">
      <alignment horizontal="center" wrapText="1"/>
    </xf>
    <xf numFmtId="167" fontId="75" fillId="0" borderId="89" xfId="0" applyNumberFormat="1" applyFont="1" applyBorder="1" applyAlignment="1">
      <alignment horizontal="center" wrapText="1"/>
    </xf>
    <xf numFmtId="167" fontId="50" fillId="5" borderId="89" xfId="0" applyNumberFormat="1" applyFont="1" applyFill="1" applyBorder="1" applyAlignment="1">
      <alignment horizontal="center" wrapText="1"/>
    </xf>
    <xf numFmtId="0" fontId="56" fillId="24" borderId="89" xfId="0" applyFont="1" applyFill="1" applyBorder="1" applyAlignment="1">
      <alignment horizontal="center" vertical="center" wrapText="1"/>
    </xf>
    <xf numFmtId="0" fontId="61" fillId="25" borderId="89" xfId="0" applyFont="1" applyFill="1" applyBorder="1" applyAlignment="1">
      <alignment horizontal="justify" vertical="center"/>
    </xf>
    <xf numFmtId="169" fontId="42" fillId="5" borderId="89" xfId="34" applyNumberFormat="1" applyFont="1" applyFill="1" applyBorder="1" applyAlignment="1">
      <alignment horizontal="right" vertical="center" wrapText="1"/>
    </xf>
    <xf numFmtId="167" fontId="45" fillId="0" borderId="89" xfId="0" applyNumberFormat="1" applyFont="1" applyFill="1" applyBorder="1" applyAlignment="1">
      <alignment horizontal="center" wrapText="1"/>
    </xf>
    <xf numFmtId="0" fontId="56" fillId="26" borderId="89" xfId="0" applyFont="1" applyFill="1" applyBorder="1" applyAlignment="1">
      <alignment horizontal="center" vertical="center" wrapText="1"/>
    </xf>
    <xf numFmtId="0" fontId="57" fillId="25" borderId="89" xfId="0" applyFont="1" applyFill="1" applyBorder="1" applyAlignment="1">
      <alignment horizontal="justify" vertical="center"/>
    </xf>
    <xf numFmtId="0" fontId="56" fillId="2" borderId="89" xfId="0" applyFont="1" applyFill="1" applyBorder="1" applyAlignment="1">
      <alignment horizontal="justify" vertical="center"/>
    </xf>
    <xf numFmtId="167" fontId="75" fillId="0" borderId="89" xfId="0" applyNumberFormat="1" applyFont="1" applyFill="1" applyBorder="1" applyAlignment="1">
      <alignment horizontal="center" wrapText="1"/>
    </xf>
    <xf numFmtId="167" fontId="75" fillId="2" borderId="89" xfId="0" applyNumberFormat="1" applyFont="1" applyFill="1" applyBorder="1" applyAlignment="1">
      <alignment horizontal="center" vertical="center"/>
    </xf>
    <xf numFmtId="167" fontId="75" fillId="2" borderId="89" xfId="0" applyNumberFormat="1" applyFont="1" applyFill="1" applyBorder="1" applyAlignment="1">
      <alignment horizontal="center" vertical="center" wrapText="1"/>
    </xf>
    <xf numFmtId="167" fontId="56" fillId="2" borderId="89" xfId="0" applyNumberFormat="1" applyFont="1" applyFill="1" applyBorder="1" applyAlignment="1">
      <alignment horizontal="center" vertical="center" wrapText="1"/>
    </xf>
    <xf numFmtId="167" fontId="56" fillId="2" borderId="72" xfId="0" applyNumberFormat="1" applyFont="1" applyFill="1" applyBorder="1" applyAlignment="1">
      <alignment horizontal="center" vertical="center" wrapText="1"/>
    </xf>
    <xf numFmtId="167" fontId="56" fillId="2" borderId="52" xfId="0" applyNumberFormat="1" applyFont="1" applyFill="1" applyBorder="1" applyAlignment="1">
      <alignment horizontal="center" vertical="center" wrapText="1"/>
    </xf>
    <xf numFmtId="0" fontId="56" fillId="24" borderId="24" xfId="0" applyFont="1" applyFill="1" applyBorder="1" applyAlignment="1">
      <alignment horizontal="center" vertical="center" wrapText="1"/>
    </xf>
    <xf numFmtId="167" fontId="56" fillId="2" borderId="5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0" fillId="24" borderId="1" xfId="0" applyFill="1" applyBorder="1"/>
    <xf numFmtId="0" fontId="0" fillId="25" borderId="1" xfId="0" applyFill="1" applyBorder="1"/>
    <xf numFmtId="0" fontId="2" fillId="5" borderId="1" xfId="0" applyFont="1" applyFill="1" applyBorder="1" applyAlignment="1">
      <alignment horizontal="right" vertical="center"/>
    </xf>
    <xf numFmtId="0" fontId="6" fillId="24" borderId="1" xfId="0" applyFont="1" applyFill="1" applyBorder="1"/>
    <xf numFmtId="0" fontId="6" fillId="26" borderId="1" xfId="0" applyFont="1" applyFill="1" applyBorder="1"/>
    <xf numFmtId="0" fontId="6" fillId="25" borderId="1" xfId="0" applyFont="1" applyFill="1" applyBorder="1"/>
    <xf numFmtId="0" fontId="4" fillId="2" borderId="1" xfId="0" applyFont="1" applyFill="1" applyBorder="1"/>
    <xf numFmtId="0" fontId="98" fillId="0" borderId="1" xfId="0" applyFont="1" applyBorder="1"/>
    <xf numFmtId="0" fontId="0" fillId="0" borderId="82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2" borderId="62" xfId="0" applyFill="1" applyBorder="1"/>
    <xf numFmtId="0" fontId="1" fillId="0" borderId="62" xfId="0" applyFont="1" applyBorder="1"/>
    <xf numFmtId="4" fontId="1" fillId="0" borderId="66" xfId="0" applyNumberFormat="1" applyFont="1" applyBorder="1"/>
    <xf numFmtId="0" fontId="0" fillId="0" borderId="118" xfId="0" applyBorder="1"/>
    <xf numFmtId="4" fontId="1" fillId="3" borderId="20" xfId="0" applyNumberFormat="1" applyFont="1" applyFill="1" applyBorder="1"/>
    <xf numFmtId="0" fontId="0" fillId="2" borderId="61" xfId="0" applyFill="1" applyBorder="1"/>
    <xf numFmtId="43" fontId="0" fillId="0" borderId="62" xfId="0" applyNumberFormat="1" applyBorder="1" applyAlignment="1">
      <alignment horizontal="right"/>
    </xf>
    <xf numFmtId="43" fontId="1" fillId="0" borderId="62" xfId="1" applyFont="1" applyBorder="1"/>
    <xf numFmtId="0" fontId="0" fillId="0" borderId="62" xfId="0" applyBorder="1" applyAlignment="1">
      <alignment horizontal="right"/>
    </xf>
    <xf numFmtId="43" fontId="1" fillId="0" borderId="66" xfId="1" applyFont="1" applyBorder="1"/>
    <xf numFmtId="4" fontId="1" fillId="3" borderId="20" xfId="1" applyNumberFormat="1" applyFont="1" applyFill="1" applyBorder="1"/>
    <xf numFmtId="0" fontId="1" fillId="2" borderId="61" xfId="0" applyFont="1" applyFill="1" applyBorder="1"/>
    <xf numFmtId="3" fontId="1" fillId="0" borderId="62" xfId="0" applyNumberFormat="1" applyFont="1" applyBorder="1"/>
    <xf numFmtId="43" fontId="0" fillId="0" borderId="62" xfId="0" applyNumberFormat="1" applyBorder="1"/>
    <xf numFmtId="4" fontId="1" fillId="0" borderId="62" xfId="0" applyNumberFormat="1" applyFont="1" applyBorder="1"/>
    <xf numFmtId="4" fontId="1" fillId="3" borderId="29" xfId="0" applyNumberFormat="1" applyFont="1" applyFill="1" applyBorder="1"/>
    <xf numFmtId="4" fontId="0" fillId="2" borderId="0" xfId="0" applyNumberFormat="1" applyFill="1" applyBorder="1"/>
    <xf numFmtId="4" fontId="0" fillId="2" borderId="62" xfId="0" applyNumberFormat="1" applyFill="1" applyBorder="1"/>
    <xf numFmtId="4" fontId="1" fillId="2" borderId="29" xfId="0" applyNumberFormat="1" applyFont="1" applyFill="1" applyBorder="1"/>
    <xf numFmtId="167" fontId="0" fillId="5" borderId="62" xfId="0" applyNumberFormat="1" applyFill="1" applyBorder="1"/>
    <xf numFmtId="0" fontId="0" fillId="4" borderId="62" xfId="0" applyFill="1" applyBorder="1"/>
    <xf numFmtId="0" fontId="0" fillId="6" borderId="62" xfId="0" applyFill="1" applyBorder="1"/>
    <xf numFmtId="0" fontId="0" fillId="7" borderId="62" xfId="0" applyFill="1" applyBorder="1"/>
    <xf numFmtId="167" fontId="0" fillId="7" borderId="62" xfId="0" applyNumberFormat="1" applyFill="1" applyBorder="1"/>
    <xf numFmtId="4" fontId="1" fillId="2" borderId="62" xfId="0" applyNumberFormat="1" applyFont="1" applyFill="1" applyBorder="1"/>
    <xf numFmtId="4" fontId="0" fillId="6" borderId="20" xfId="0" applyNumberFormat="1" applyFill="1" applyBorder="1"/>
    <xf numFmtId="4" fontId="1" fillId="6" borderId="20" xfId="0" applyNumberFormat="1" applyFont="1" applyFill="1" applyBorder="1"/>
    <xf numFmtId="4" fontId="0" fillId="2" borderId="66" xfId="0" applyNumberFormat="1" applyFill="1" applyBorder="1"/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" fillId="0" borderId="62" xfId="0" applyFont="1" applyFill="1" applyBorder="1"/>
    <xf numFmtId="4" fontId="1" fillId="8" borderId="62" xfId="0" applyNumberFormat="1" applyFont="1" applyFill="1" applyBorder="1"/>
    <xf numFmtId="4" fontId="1" fillId="0" borderId="62" xfId="0" applyNumberFormat="1" applyFont="1" applyFill="1" applyBorder="1"/>
    <xf numFmtId="4" fontId="1" fillId="31" borderId="62" xfId="0" applyNumberFormat="1" applyFont="1" applyFill="1" applyBorder="1"/>
    <xf numFmtId="4" fontId="1" fillId="6" borderId="29" xfId="0" applyNumberFormat="1" applyFont="1" applyFill="1" applyBorder="1"/>
    <xf numFmtId="4" fontId="28" fillId="0" borderId="62" xfId="2" applyNumberFormat="1" applyFont="1" applyBorder="1" applyAlignment="1">
      <alignment horizontal="right" vertical="top" wrapText="1"/>
    </xf>
    <xf numFmtId="4" fontId="0" fillId="0" borderId="62" xfId="0" applyNumberFormat="1" applyFont="1" applyFill="1" applyBorder="1"/>
    <xf numFmtId="0" fontId="1" fillId="0" borderId="66" xfId="0" applyFont="1" applyFill="1" applyBorder="1"/>
    <xf numFmtId="4" fontId="1" fillId="2" borderId="62" xfId="0" applyNumberFormat="1" applyFont="1" applyFill="1" applyBorder="1" applyAlignment="1">
      <alignment horizontal="center" vertical="center" wrapText="1"/>
    </xf>
    <xf numFmtId="4" fontId="0" fillId="0" borderId="62" xfId="0" applyNumberFormat="1" applyFont="1" applyBorder="1" applyAlignment="1">
      <alignment horizontal="center" vertical="center" wrapText="1"/>
    </xf>
    <xf numFmtId="4" fontId="1" fillId="0" borderId="62" xfId="0" applyNumberFormat="1" applyFont="1" applyBorder="1" applyAlignment="1">
      <alignment horizontal="center" vertical="center" wrapText="1"/>
    </xf>
    <xf numFmtId="4" fontId="1" fillId="2" borderId="62" xfId="0" applyNumberFormat="1" applyFont="1" applyFill="1" applyBorder="1" applyAlignment="1">
      <alignment vertical="center" wrapText="1"/>
    </xf>
    <xf numFmtId="4" fontId="1" fillId="2" borderId="62" xfId="0" applyNumberFormat="1" applyFont="1" applyFill="1" applyBorder="1" applyAlignment="1">
      <alignment horizontal="right" vertical="center" wrapText="1"/>
    </xf>
    <xf numFmtId="4" fontId="1" fillId="6" borderId="20" xfId="0" applyNumberFormat="1" applyFont="1" applyFill="1" applyBorder="1" applyAlignment="1">
      <alignment horizontal="center"/>
    </xf>
    <xf numFmtId="0" fontId="1" fillId="0" borderId="62" xfId="0" applyFont="1" applyFill="1" applyBorder="1" applyAlignment="1">
      <alignment vertical="center" wrapText="1"/>
    </xf>
    <xf numFmtId="4" fontId="0" fillId="0" borderId="62" xfId="0" applyNumberFormat="1" applyBorder="1" applyAlignment="1">
      <alignment horizontal="right"/>
    </xf>
    <xf numFmtId="4" fontId="0" fillId="0" borderId="66" xfId="0" applyNumberFormat="1" applyBorder="1" applyAlignment="1">
      <alignment horizontal="right"/>
    </xf>
    <xf numFmtId="4" fontId="2" fillId="0" borderId="90" xfId="0" applyNumberFormat="1" applyFont="1" applyBorder="1" applyAlignment="1">
      <alignment wrapText="1"/>
    </xf>
    <xf numFmtId="0" fontId="0" fillId="0" borderId="81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0" xfId="32" applyFont="1" applyAlignment="1">
      <alignment wrapText="1"/>
    </xf>
    <xf numFmtId="43" fontId="1" fillId="6" borderId="7" xfId="1" applyFont="1" applyFill="1" applyBorder="1" applyAlignment="1">
      <alignment horizontal="right" vertical="center" wrapText="1"/>
    </xf>
    <xf numFmtId="0" fontId="1" fillId="0" borderId="10" xfId="0" applyFont="1" applyBorder="1" applyAlignment="1"/>
    <xf numFmtId="0" fontId="1" fillId="0" borderId="20" xfId="0" applyFont="1" applyBorder="1" applyAlignment="1"/>
    <xf numFmtId="0" fontId="64" fillId="0" borderId="7" xfId="0" applyFont="1" applyBorder="1" applyAlignment="1">
      <alignment vertical="center"/>
    </xf>
    <xf numFmtId="0" fontId="64" fillId="0" borderId="11" xfId="0" applyFont="1" applyBorder="1" applyAlignment="1">
      <alignment vertical="center"/>
    </xf>
    <xf numFmtId="0" fontId="64" fillId="0" borderId="61" xfId="0" applyFont="1" applyBorder="1" applyAlignment="1">
      <alignment vertical="center"/>
    </xf>
    <xf numFmtId="0" fontId="64" fillId="0" borderId="96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49" fontId="1" fillId="6" borderId="58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43" fontId="0" fillId="0" borderId="10" xfId="1" applyFont="1" applyBorder="1" applyAlignment="1">
      <alignment horizontal="right"/>
    </xf>
    <xf numFmtId="43" fontId="0" fillId="2" borderId="22" xfId="1" applyFont="1" applyFill="1" applyBorder="1" applyAlignment="1">
      <alignment horizontal="right" vertical="center" wrapText="1"/>
    </xf>
    <xf numFmtId="43" fontId="1" fillId="7" borderId="119" xfId="1" applyFont="1" applyFill="1" applyBorder="1" applyAlignment="1">
      <alignment horizontal="right" vertical="center" wrapText="1"/>
    </xf>
    <xf numFmtId="43" fontId="0" fillId="21" borderId="95" xfId="1" applyFont="1" applyFill="1" applyBorder="1" applyAlignment="1">
      <alignment horizontal="right" vertical="center" wrapText="1"/>
    </xf>
    <xf numFmtId="43" fontId="0" fillId="0" borderId="24" xfId="1" applyFont="1" applyBorder="1" applyAlignment="1">
      <alignment horizontal="right" vertical="center" wrapText="1"/>
    </xf>
    <xf numFmtId="43" fontId="0" fillId="0" borderId="28" xfId="1" applyFont="1" applyBorder="1" applyAlignment="1">
      <alignment horizontal="right" vertical="center" wrapText="1"/>
    </xf>
    <xf numFmtId="43" fontId="1" fillId="7" borderId="74" xfId="1" applyFont="1" applyFill="1" applyBorder="1" applyAlignment="1">
      <alignment horizontal="right" vertical="center" wrapText="1"/>
    </xf>
    <xf numFmtId="43" fontId="0" fillId="0" borderId="32" xfId="1" applyFont="1" applyBorder="1" applyAlignment="1">
      <alignment horizontal="right" vertical="center" wrapText="1"/>
    </xf>
    <xf numFmtId="43" fontId="0" fillId="0" borderId="120" xfId="1" applyFont="1" applyBorder="1" applyAlignment="1">
      <alignment horizontal="right" vertical="center" wrapText="1"/>
    </xf>
    <xf numFmtId="43" fontId="1" fillId="21" borderId="121" xfId="1" applyFont="1" applyFill="1" applyBorder="1" applyAlignment="1">
      <alignment horizontal="right" vertical="center" wrapText="1"/>
    </xf>
    <xf numFmtId="43" fontId="1" fillId="7" borderId="40" xfId="1" applyFont="1" applyFill="1" applyBorder="1" applyAlignment="1">
      <alignment horizontal="center" vertical="center" wrapText="1"/>
    </xf>
    <xf numFmtId="43" fontId="1" fillId="7" borderId="41" xfId="1" applyFont="1" applyFill="1" applyBorder="1" applyAlignment="1">
      <alignment horizontal="right" vertical="center" wrapText="1"/>
    </xf>
    <xf numFmtId="43" fontId="0" fillId="0" borderId="95" xfId="1" applyFont="1" applyBorder="1" applyAlignment="1">
      <alignment horizontal="right"/>
    </xf>
    <xf numFmtId="43" fontId="1" fillId="21" borderId="122" xfId="1" applyFont="1" applyFill="1" applyBorder="1" applyAlignment="1">
      <alignment horizontal="right" wrapText="1"/>
    </xf>
    <xf numFmtId="43" fontId="0" fillId="7" borderId="41" xfId="1" applyFont="1" applyFill="1" applyBorder="1" applyAlignment="1">
      <alignment horizontal="right" vertical="center" wrapText="1"/>
    </xf>
    <xf numFmtId="43" fontId="1" fillId="7" borderId="121" xfId="1" applyFont="1" applyFill="1" applyBorder="1" applyAlignment="1">
      <alignment horizontal="right" vertical="center" wrapText="1"/>
    </xf>
    <xf numFmtId="43" fontId="0" fillId="0" borderId="33" xfId="1" applyFont="1" applyBorder="1" applyAlignment="1">
      <alignment horizontal="center" vertical="center" wrapText="1"/>
    </xf>
    <xf numFmtId="43" fontId="0" fillId="0" borderId="95" xfId="1" applyFont="1" applyBorder="1" applyAlignment="1">
      <alignment horizontal="right" vertical="center" wrapText="1"/>
    </xf>
    <xf numFmtId="43" fontId="0" fillId="0" borderId="32" xfId="1" applyFont="1" applyBorder="1" applyAlignment="1">
      <alignment horizontal="right" wrapText="1"/>
    </xf>
    <xf numFmtId="43" fontId="0" fillId="15" borderId="1" xfId="1" applyFont="1" applyFill="1" applyBorder="1" applyAlignment="1">
      <alignment horizontal="right" vertical="center" wrapText="1"/>
    </xf>
    <xf numFmtId="43" fontId="0" fillId="0" borderId="32" xfId="1" applyFont="1" applyBorder="1" applyAlignment="1">
      <alignment horizontal="right"/>
    </xf>
    <xf numFmtId="43" fontId="0" fillId="0" borderId="105" xfId="1" applyFont="1" applyBorder="1" applyAlignment="1">
      <alignment horizontal="right"/>
    </xf>
    <xf numFmtId="43" fontId="4" fillId="2" borderId="22" xfId="1" applyFont="1" applyFill="1" applyBorder="1" applyAlignment="1">
      <alignment vertical="center" wrapText="1"/>
    </xf>
    <xf numFmtId="43" fontId="4" fillId="2" borderId="14" xfId="1" applyFont="1" applyFill="1" applyBorder="1" applyAlignment="1">
      <alignment horizontal="right" vertical="center" wrapText="1"/>
    </xf>
    <xf numFmtId="4" fontId="1" fillId="7" borderId="42" xfId="1" applyNumberFormat="1" applyFont="1" applyFill="1" applyBorder="1" applyAlignment="1">
      <alignment horizontal="right" vertical="center" wrapText="1"/>
    </xf>
    <xf numFmtId="43" fontId="1" fillId="21" borderId="122" xfId="1" applyFont="1" applyFill="1" applyBorder="1" applyAlignment="1">
      <alignment horizontal="right" vertical="center" wrapText="1"/>
    </xf>
    <xf numFmtId="43" fontId="0" fillId="0" borderId="19" xfId="1" applyFont="1" applyBorder="1" applyAlignment="1">
      <alignment horizontal="right" vertical="center" wrapText="1"/>
    </xf>
    <xf numFmtId="43" fontId="0" fillId="0" borderId="105" xfId="1" applyFont="1" applyBorder="1" applyAlignment="1">
      <alignment horizontal="right" vertical="center" wrapText="1"/>
    </xf>
    <xf numFmtId="43" fontId="0" fillId="0" borderId="4" xfId="1" applyFont="1" applyBorder="1" applyAlignment="1">
      <alignment horizontal="right" vertical="center" wrapText="1"/>
    </xf>
    <xf numFmtId="43" fontId="1" fillId="2" borderId="22" xfId="1" applyFont="1" applyFill="1" applyBorder="1" applyAlignment="1">
      <alignment vertical="center" wrapText="1"/>
    </xf>
    <xf numFmtId="43" fontId="1" fillId="2" borderId="51" xfId="1" applyFont="1" applyFill="1" applyBorder="1" applyAlignment="1">
      <alignment horizontal="right" vertical="center" wrapText="1"/>
    </xf>
    <xf numFmtId="43" fontId="0" fillId="7" borderId="35" xfId="1" applyFont="1" applyFill="1" applyBorder="1" applyAlignment="1">
      <alignment vertical="center" wrapText="1"/>
    </xf>
    <xf numFmtId="43" fontId="0" fillId="7" borderId="43" xfId="1" applyFont="1" applyFill="1" applyBorder="1" applyAlignment="1">
      <alignment horizontal="right" vertical="center" wrapText="1"/>
    </xf>
    <xf numFmtId="43" fontId="120" fillId="21" borderId="123" xfId="1" applyFont="1" applyFill="1" applyBorder="1" applyAlignment="1">
      <alignment wrapText="1"/>
    </xf>
    <xf numFmtId="43" fontId="0" fillId="0" borderId="33" xfId="1" applyFont="1" applyBorder="1" applyAlignment="1">
      <alignment horizontal="right" wrapText="1"/>
    </xf>
    <xf numFmtId="43" fontId="120" fillId="21" borderId="95" xfId="1" applyFont="1" applyFill="1" applyBorder="1" applyAlignment="1">
      <alignment wrapText="1"/>
    </xf>
    <xf numFmtId="43" fontId="6" fillId="0" borderId="32" xfId="1" applyFont="1" applyBorder="1" applyAlignment="1">
      <alignment horizontal="right"/>
    </xf>
    <xf numFmtId="43" fontId="0" fillId="0" borderId="120" xfId="1" applyFont="1" applyBorder="1" applyAlignment="1">
      <alignment horizontal="right"/>
    </xf>
    <xf numFmtId="43" fontId="1" fillId="7" borderId="41" xfId="1" applyFont="1" applyFill="1" applyBorder="1" applyAlignment="1">
      <alignment vertical="center" wrapText="1"/>
    </xf>
    <xf numFmtId="43" fontId="0" fillId="0" borderId="33" xfId="1" applyFont="1" applyBorder="1" applyAlignment="1">
      <alignment vertical="center"/>
    </xf>
    <xf numFmtId="43" fontId="0" fillId="0" borderId="39" xfId="1" applyFont="1" applyBorder="1" applyAlignment="1">
      <alignment vertical="center"/>
    </xf>
    <xf numFmtId="43" fontId="1" fillId="7" borderId="121" xfId="1" applyFont="1" applyFill="1" applyBorder="1" applyAlignment="1">
      <alignment horizontal="right"/>
    </xf>
    <xf numFmtId="43" fontId="3" fillId="7" borderId="121" xfId="1" applyFont="1" applyFill="1" applyBorder="1" applyAlignment="1">
      <alignment horizontal="right" vertical="center" wrapText="1"/>
    </xf>
    <xf numFmtId="43" fontId="3" fillId="7" borderId="40" xfId="1" applyFont="1" applyFill="1" applyBorder="1" applyAlignment="1">
      <alignment horizontal="right" vertical="center" wrapText="1"/>
    </xf>
    <xf numFmtId="49" fontId="0" fillId="0" borderId="87" xfId="0" applyNumberFormat="1" applyFill="1" applyBorder="1"/>
    <xf numFmtId="43" fontId="0" fillId="0" borderId="95" xfId="1" applyFont="1" applyFill="1" applyBorder="1" applyAlignment="1">
      <alignment horizontal="right"/>
    </xf>
    <xf numFmtId="49" fontId="0" fillId="0" borderId="91" xfId="0" applyNumberFormat="1" applyFill="1" applyBorder="1"/>
    <xf numFmtId="43" fontId="0" fillId="0" borderId="24" xfId="1" applyFont="1" applyFill="1" applyBorder="1" applyAlignment="1">
      <alignment horizontal="right"/>
    </xf>
    <xf numFmtId="43" fontId="0" fillId="0" borderId="31" xfId="1" applyFont="1" applyFill="1" applyBorder="1" applyAlignment="1">
      <alignment horizontal="right"/>
    </xf>
    <xf numFmtId="43" fontId="3" fillId="21" borderId="78" xfId="1" applyFont="1" applyFill="1" applyBorder="1" applyAlignment="1">
      <alignment vertical="center" wrapText="1"/>
    </xf>
    <xf numFmtId="43" fontId="3" fillId="2" borderId="51" xfId="1" applyFont="1" applyFill="1" applyBorder="1" applyAlignment="1">
      <alignment horizontal="right" vertical="center" wrapText="1"/>
    </xf>
    <xf numFmtId="43" fontId="1" fillId="7" borderId="32" xfId="1" applyFont="1" applyFill="1" applyBorder="1" applyAlignment="1">
      <alignment horizontal="right"/>
    </xf>
    <xf numFmtId="43" fontId="3" fillId="2" borderId="22" xfId="1" applyFont="1" applyFill="1" applyBorder="1" applyAlignment="1">
      <alignment vertical="center" wrapText="1"/>
    </xf>
    <xf numFmtId="43" fontId="3" fillId="2" borderId="14" xfId="1" applyFont="1" applyFill="1" applyBorder="1" applyAlignment="1">
      <alignment horizontal="right" vertical="center" wrapText="1"/>
    </xf>
    <xf numFmtId="43" fontId="3" fillId="7" borderId="27" xfId="1" applyFont="1" applyFill="1" applyBorder="1" applyAlignment="1">
      <alignment horizontal="right" vertical="center" wrapText="1"/>
    </xf>
    <xf numFmtId="43" fontId="3" fillId="2" borderId="10" xfId="1" applyFont="1" applyFill="1" applyBorder="1" applyAlignment="1">
      <alignment horizontal="right" vertical="center" wrapText="1"/>
    </xf>
    <xf numFmtId="43" fontId="1" fillId="7" borderId="119" xfId="1" applyFont="1" applyFill="1" applyBorder="1" applyAlignment="1">
      <alignment horizontal="right"/>
    </xf>
    <xf numFmtId="43" fontId="1" fillId="7" borderId="95" xfId="1" applyFont="1" applyFill="1" applyBorder="1" applyAlignment="1">
      <alignment horizontal="right"/>
    </xf>
    <xf numFmtId="43" fontId="1" fillId="2" borderId="10" xfId="1" applyFont="1" applyFill="1" applyBorder="1" applyAlignment="1">
      <alignment horizontal="right"/>
    </xf>
    <xf numFmtId="43" fontId="3" fillId="2" borderId="5" xfId="1" applyFont="1" applyFill="1" applyBorder="1" applyAlignment="1">
      <alignment horizontal="right" vertical="center" wrapText="1"/>
    </xf>
    <xf numFmtId="43" fontId="1" fillId="21" borderId="121" xfId="1" applyFont="1" applyFill="1" applyBorder="1" applyAlignment="1">
      <alignment horizontal="right" wrapText="1"/>
    </xf>
    <xf numFmtId="43" fontId="1" fillId="21" borderId="121" xfId="1" applyFont="1" applyFill="1" applyBorder="1" applyAlignment="1">
      <alignment horizontal="right"/>
    </xf>
    <xf numFmtId="43" fontId="1" fillId="7" borderId="31" xfId="1" applyFont="1" applyFill="1" applyBorder="1" applyAlignment="1">
      <alignment horizontal="right" vertical="center" wrapText="1"/>
    </xf>
    <xf numFmtId="43" fontId="1" fillId="21" borderId="22" xfId="1" applyFont="1" applyFill="1" applyBorder="1" applyAlignment="1">
      <alignment horizontal="right" wrapText="1"/>
    </xf>
    <xf numFmtId="43" fontId="1" fillId="0" borderId="78" xfId="1" applyFont="1" applyFill="1" applyBorder="1" applyAlignment="1">
      <alignment horizontal="right"/>
    </xf>
    <xf numFmtId="43" fontId="1" fillId="21" borderId="21" xfId="1" applyFont="1" applyFill="1" applyBorder="1" applyAlignment="1">
      <alignment horizontal="right"/>
    </xf>
    <xf numFmtId="43" fontId="1" fillId="2" borderId="15" xfId="1" applyFont="1" applyFill="1" applyBorder="1" applyAlignment="1">
      <alignment horizontal="right"/>
    </xf>
    <xf numFmtId="43" fontId="1" fillId="2" borderId="69" xfId="1" applyFont="1" applyFill="1" applyBorder="1" applyAlignment="1">
      <alignment horizontal="right"/>
    </xf>
    <xf numFmtId="43" fontId="1" fillId="7" borderId="53" xfId="1" applyFont="1" applyFill="1" applyBorder="1" applyAlignment="1">
      <alignment horizontal="right"/>
    </xf>
    <xf numFmtId="49" fontId="1" fillId="20" borderId="99" xfId="0" applyNumberFormat="1" applyFont="1" applyFill="1" applyBorder="1" applyAlignment="1">
      <alignment vertical="center" wrapText="1"/>
    </xf>
    <xf numFmtId="43" fontId="1" fillId="7" borderId="122" xfId="1" applyFont="1" applyFill="1" applyBorder="1" applyAlignment="1">
      <alignment horizontal="right"/>
    </xf>
    <xf numFmtId="43" fontId="1" fillId="7" borderId="31" xfId="1" applyFont="1" applyFill="1" applyBorder="1" applyAlignment="1">
      <alignment horizontal="right"/>
    </xf>
    <xf numFmtId="43" fontId="1" fillId="21" borderId="10" xfId="1" applyFont="1" applyFill="1" applyBorder="1" applyAlignment="1">
      <alignment horizontal="right" wrapText="1"/>
    </xf>
    <xf numFmtId="43" fontId="1" fillId="2" borderId="22" xfId="1" applyFont="1" applyFill="1" applyBorder="1" applyAlignment="1">
      <alignment horizontal="right"/>
    </xf>
    <xf numFmtId="49" fontId="1" fillId="21" borderId="102" xfId="0" applyNumberFormat="1" applyFont="1" applyFill="1" applyBorder="1" applyAlignment="1">
      <alignment vertical="center" wrapText="1"/>
    </xf>
    <xf numFmtId="49" fontId="0" fillId="7" borderId="87" xfId="0" applyNumberFormat="1" applyFont="1" applyFill="1" applyBorder="1" applyAlignment="1">
      <alignment vertical="center" wrapText="1"/>
    </xf>
    <xf numFmtId="43" fontId="1" fillId="7" borderId="23" xfId="1" applyFont="1" applyFill="1" applyBorder="1" applyAlignment="1">
      <alignment horizontal="right"/>
    </xf>
    <xf numFmtId="49" fontId="0" fillId="7" borderId="91" xfId="0" applyNumberFormat="1" applyFont="1" applyFill="1" applyBorder="1" applyAlignment="1">
      <alignment vertical="center" wrapText="1"/>
    </xf>
    <xf numFmtId="43" fontId="1" fillId="7" borderId="25" xfId="1" applyFont="1" applyFill="1" applyBorder="1" applyAlignment="1">
      <alignment horizontal="right"/>
    </xf>
    <xf numFmtId="43" fontId="1" fillId="2" borderId="24" xfId="1" applyFont="1" applyFill="1" applyBorder="1" applyAlignment="1">
      <alignment horizontal="right"/>
    </xf>
    <xf numFmtId="49" fontId="0" fillId="7" borderId="89" xfId="0" applyNumberFormat="1" applyFont="1" applyFill="1" applyBorder="1" applyAlignment="1">
      <alignment vertical="center" wrapText="1"/>
    </xf>
    <xf numFmtId="43" fontId="1" fillId="7" borderId="24" xfId="1" applyFont="1" applyFill="1" applyBorder="1" applyAlignment="1">
      <alignment horizontal="right"/>
    </xf>
    <xf numFmtId="0" fontId="0" fillId="21" borderId="1" xfId="0" applyFill="1" applyBorder="1"/>
    <xf numFmtId="4" fontId="0" fillId="21" borderId="1" xfId="0" applyNumberFormat="1" applyFill="1" applyBorder="1"/>
    <xf numFmtId="0" fontId="0" fillId="0" borderId="43" xfId="0" applyBorder="1"/>
    <xf numFmtId="0" fontId="1" fillId="0" borderId="43" xfId="0" applyFont="1" applyBorder="1"/>
    <xf numFmtId="0" fontId="0" fillId="0" borderId="43" xfId="0" applyBorder="1" applyAlignment="1">
      <alignment horizontal="center"/>
    </xf>
    <xf numFmtId="43" fontId="0" fillId="0" borderId="43" xfId="1" applyFont="1" applyBorder="1" applyAlignment="1"/>
    <xf numFmtId="43" fontId="0" fillId="0" borderId="15" xfId="1" applyFont="1" applyBorder="1" applyAlignment="1"/>
    <xf numFmtId="43" fontId="0" fillId="0" borderId="44" xfId="1" applyFont="1" applyBorder="1" applyAlignment="1">
      <alignment horizontal="right"/>
    </xf>
    <xf numFmtId="43" fontId="0" fillId="0" borderId="124" xfId="1" applyFont="1" applyBorder="1" applyAlignment="1">
      <alignment horizontal="right"/>
    </xf>
    <xf numFmtId="43" fontId="2" fillId="0" borderId="1" xfId="0" applyNumberFormat="1" applyFont="1" applyBorder="1" applyAlignment="1">
      <alignment horizontal="center"/>
    </xf>
    <xf numFmtId="49" fontId="1" fillId="6" borderId="58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4" fontId="0" fillId="2" borderId="9" xfId="0" applyNumberFormat="1" applyFill="1" applyBorder="1" applyAlignment="1">
      <alignment horizontal="center" vertical="center" wrapText="1"/>
    </xf>
    <xf numFmtId="4" fontId="1" fillId="7" borderId="21" xfId="0" applyNumberFormat="1" applyFont="1" applyFill="1" applyBorder="1" applyAlignment="1">
      <alignment horizontal="center" vertical="center" wrapText="1"/>
    </xf>
    <xf numFmtId="4" fontId="1" fillId="7" borderId="125" xfId="0" applyNumberFormat="1" applyFont="1" applyFill="1" applyBorder="1" applyAlignment="1">
      <alignment horizontal="center" vertical="center" wrapText="1"/>
    </xf>
    <xf numFmtId="4" fontId="0" fillId="0" borderId="95" xfId="0" applyNumberFormat="1" applyBorder="1" applyAlignment="1">
      <alignment horizontal="center" vertical="center" wrapText="1"/>
    </xf>
    <xf numFmtId="4" fontId="0" fillId="0" borderId="88" xfId="0" applyNumberFormat="1" applyBorder="1" applyAlignment="1">
      <alignment horizontal="center" vertical="center" wrapText="1"/>
    </xf>
    <xf numFmtId="4" fontId="0" fillId="0" borderId="32" xfId="0" applyNumberFormat="1" applyBorder="1" applyAlignment="1">
      <alignment horizontal="center" vertical="center" wrapText="1"/>
    </xf>
    <xf numFmtId="4" fontId="0" fillId="0" borderId="120" xfId="0" applyNumberFormat="1" applyBorder="1" applyAlignment="1">
      <alignment horizontal="center" vertical="center" wrapText="1"/>
    </xf>
    <xf numFmtId="4" fontId="0" fillId="0" borderId="126" xfId="0" applyNumberFormat="1" applyBorder="1" applyAlignment="1">
      <alignment horizontal="center" vertical="center" wrapText="1"/>
    </xf>
    <xf numFmtId="0" fontId="0" fillId="21" borderId="0" xfId="0" applyFill="1" applyBorder="1" applyAlignment="1">
      <alignment wrapText="1"/>
    </xf>
    <xf numFmtId="4" fontId="1" fillId="7" borderId="55" xfId="0" applyNumberFormat="1" applyFont="1" applyFill="1" applyBorder="1" applyAlignment="1">
      <alignment horizontal="center" vertical="center" wrapText="1"/>
    </xf>
    <xf numFmtId="4" fontId="0" fillId="0" borderId="88" xfId="0" applyNumberFormat="1" applyBorder="1" applyAlignment="1">
      <alignment horizontal="center"/>
    </xf>
    <xf numFmtId="4" fontId="0" fillId="7" borderId="55" xfId="0" applyNumberFormat="1" applyFill="1" applyBorder="1" applyAlignment="1">
      <alignment horizontal="center" vertical="center" wrapText="1"/>
    </xf>
    <xf numFmtId="4" fontId="0" fillId="21" borderId="3" xfId="0" applyNumberFormat="1" applyFill="1" applyBorder="1" applyAlignment="1">
      <alignment horizontal="center" vertical="center" wrapText="1"/>
    </xf>
    <xf numFmtId="4" fontId="0" fillId="0" borderId="92" xfId="0" applyNumberFormat="1" applyBorder="1" applyAlignment="1">
      <alignment horizontal="center" vertical="center" wrapText="1"/>
    </xf>
    <xf numFmtId="4" fontId="1" fillId="6" borderId="9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1" fillId="7" borderId="54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4" fontId="0" fillId="7" borderId="54" xfId="0" applyNumberFormat="1" applyFill="1" applyBorder="1" applyAlignment="1">
      <alignment horizontal="center" vertical="center" wrapText="1"/>
    </xf>
    <xf numFmtId="0" fontId="13" fillId="7" borderId="40" xfId="0" applyFont="1" applyFill="1" applyBorder="1" applyAlignment="1">
      <alignment horizontal="left" vertical="center" wrapText="1"/>
    </xf>
    <xf numFmtId="4" fontId="3" fillId="7" borderId="55" xfId="0" applyNumberFormat="1" applyFont="1" applyFill="1" applyBorder="1" applyAlignment="1">
      <alignment horizontal="right" vertical="center" wrapText="1"/>
    </xf>
    <xf numFmtId="4" fontId="2" fillId="0" borderId="90" xfId="0" applyNumberFormat="1" applyFont="1" applyFill="1" applyBorder="1" applyAlignment="1">
      <alignment horizontal="right" vertical="center" wrapText="1"/>
    </xf>
    <xf numFmtId="4" fontId="3" fillId="2" borderId="93" xfId="0" applyNumberFormat="1" applyFont="1" applyFill="1" applyBorder="1" applyAlignment="1">
      <alignment horizontal="right" vertical="center" wrapText="1"/>
    </xf>
    <xf numFmtId="4" fontId="3" fillId="7" borderId="86" xfId="0" applyNumberFormat="1" applyFont="1" applyFill="1" applyBorder="1" applyAlignment="1">
      <alignment horizontal="right" vertical="center" wrapText="1"/>
    </xf>
    <xf numFmtId="4" fontId="3" fillId="2" borderId="9" xfId="0" applyNumberFormat="1" applyFont="1" applyFill="1" applyBorder="1" applyAlignment="1">
      <alignment horizontal="right" vertical="center" wrapText="1"/>
    </xf>
    <xf numFmtId="0" fontId="13" fillId="7" borderId="15" xfId="0" applyFont="1" applyFill="1" applyBorder="1" applyAlignment="1">
      <alignment horizontal="left" vertical="center" wrapText="1"/>
    </xf>
    <xf numFmtId="4" fontId="3" fillId="7" borderId="86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/>
    </xf>
    <xf numFmtId="4" fontId="1" fillId="7" borderId="55" xfId="0" applyNumberFormat="1" applyFont="1" applyFill="1" applyBorder="1" applyAlignment="1">
      <alignment horizontal="center"/>
    </xf>
    <xf numFmtId="43" fontId="1" fillId="6" borderId="9" xfId="1" applyFont="1" applyFill="1" applyBorder="1" applyAlignment="1">
      <alignment vertical="center" wrapText="1"/>
    </xf>
    <xf numFmtId="4" fontId="1" fillId="0" borderId="9" xfId="0" applyNumberFormat="1" applyFont="1" applyFill="1" applyBorder="1" applyAlignment="1">
      <alignment horizontal="center"/>
    </xf>
    <xf numFmtId="4" fontId="1" fillId="2" borderId="86" xfId="0" applyNumberFormat="1" applyFont="1" applyFill="1" applyBorder="1" applyAlignment="1">
      <alignment horizontal="center"/>
    </xf>
    <xf numFmtId="4" fontId="1" fillId="20" borderId="54" xfId="0" applyNumberFormat="1" applyFont="1" applyFill="1" applyBorder="1"/>
    <xf numFmtId="4" fontId="1" fillId="7" borderId="55" xfId="0" applyNumberFormat="1" applyFont="1" applyFill="1" applyBorder="1"/>
    <xf numFmtId="4" fontId="1" fillId="7" borderId="86" xfId="0" applyNumberFormat="1" applyFont="1" applyFill="1" applyBorder="1"/>
    <xf numFmtId="4" fontId="1" fillId="2" borderId="9" xfId="0" applyNumberFormat="1" applyFont="1" applyFill="1" applyBorder="1"/>
    <xf numFmtId="49" fontId="1" fillId="7" borderId="89" xfId="0" applyNumberFormat="1" applyFont="1" applyFill="1" applyBorder="1" applyAlignment="1">
      <alignment vertical="center" wrapText="1"/>
    </xf>
    <xf numFmtId="4" fontId="1" fillId="7" borderId="90" xfId="0" applyNumberFormat="1" applyFont="1" applyFill="1" applyBorder="1"/>
    <xf numFmtId="49" fontId="1" fillId="0" borderId="95" xfId="0" applyNumberFormat="1" applyFont="1" applyFill="1" applyBorder="1"/>
    <xf numFmtId="0" fontId="0" fillId="0" borderId="29" xfId="0" applyBorder="1"/>
    <xf numFmtId="0" fontId="0" fillId="0" borderId="13" xfId="0" applyBorder="1"/>
    <xf numFmtId="49" fontId="0" fillId="0" borderId="58" xfId="0" applyNumberFormat="1" applyFill="1" applyBorder="1"/>
    <xf numFmtId="0" fontId="1" fillId="0" borderId="51" xfId="0" applyFont="1" applyFill="1" applyBorder="1" applyAlignment="1">
      <alignment horizontal="left"/>
    </xf>
    <xf numFmtId="4" fontId="0" fillId="0" borderId="51" xfId="0" applyNumberFormat="1" applyFill="1" applyBorder="1"/>
    <xf numFmtId="4" fontId="0" fillId="0" borderId="78" xfId="0" applyNumberFormat="1" applyFill="1" applyBorder="1"/>
    <xf numFmtId="4" fontId="0" fillId="0" borderId="6" xfId="0" applyNumberFormat="1" applyFill="1" applyBorder="1"/>
    <xf numFmtId="167" fontId="0" fillId="5" borderId="29" xfId="0" applyNumberFormat="1" applyFill="1" applyBorder="1"/>
    <xf numFmtId="4" fontId="0" fillId="0" borderId="29" xfId="0" applyNumberFormat="1" applyFill="1" applyBorder="1"/>
    <xf numFmtId="4" fontId="0" fillId="0" borderId="13" xfId="0" applyNumberFormat="1" applyFill="1" applyBorder="1"/>
    <xf numFmtId="4" fontId="15" fillId="0" borderId="1" xfId="0" applyNumberFormat="1" applyFont="1" applyBorder="1" applyAlignment="1">
      <alignment horizontal="right" wrapText="1"/>
    </xf>
    <xf numFmtId="0" fontId="106" fillId="0" borderId="0" xfId="0" applyFont="1" applyBorder="1"/>
    <xf numFmtId="0" fontId="121" fillId="0" borderId="0" xfId="0" applyFont="1" applyBorder="1" applyAlignment="1">
      <alignment horizontal="right" wrapText="1"/>
    </xf>
    <xf numFmtId="43" fontId="6" fillId="0" borderId="0" xfId="0" applyNumberFormat="1" applyFont="1" applyBorder="1" applyAlignment="1">
      <alignment horizontal="right"/>
    </xf>
    <xf numFmtId="43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169" fontId="6" fillId="0" borderId="0" xfId="34" applyNumberFormat="1" applyFont="1" applyBorder="1"/>
    <xf numFmtId="174" fontId="6" fillId="0" borderId="0" xfId="0" applyNumberFormat="1" applyFont="1" applyBorder="1" applyAlignment="1">
      <alignment horizontal="right"/>
    </xf>
    <xf numFmtId="0" fontId="121" fillId="0" borderId="0" xfId="0" applyFont="1" applyFill="1" applyBorder="1" applyAlignment="1">
      <alignment horizontal="right" wrapText="1"/>
    </xf>
    <xf numFmtId="10" fontId="6" fillId="21" borderId="0" xfId="0" applyNumberFormat="1" applyFont="1" applyFill="1" applyBorder="1"/>
    <xf numFmtId="0" fontId="98" fillId="0" borderId="0" xfId="0" applyFont="1" applyBorder="1" applyAlignment="1">
      <alignment horizontal="right" wrapText="1"/>
    </xf>
    <xf numFmtId="0" fontId="0" fillId="0" borderId="1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82" xfId="0" applyBorder="1" applyAlignment="1">
      <alignment horizontal="center"/>
    </xf>
    <xf numFmtId="169" fontId="0" fillId="0" borderId="24" xfId="34" applyNumberFormat="1" applyFont="1" applyBorder="1" applyAlignment="1">
      <alignment horizontal="center"/>
    </xf>
    <xf numFmtId="169" fontId="0" fillId="0" borderId="82" xfId="34" applyNumberFormat="1" applyFont="1" applyBorder="1" applyAlignment="1">
      <alignment horizontal="center"/>
    </xf>
    <xf numFmtId="10" fontId="0" fillId="0" borderId="24" xfId="34" applyNumberFormat="1" applyFont="1" applyBorder="1" applyAlignment="1">
      <alignment horizontal="center"/>
    </xf>
    <xf numFmtId="10" fontId="0" fillId="0" borderId="82" xfId="34" applyNumberFormat="1" applyFont="1" applyBorder="1" applyAlignment="1">
      <alignment horizontal="center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64" fillId="0" borderId="24" xfId="0" applyFont="1" applyBorder="1" applyAlignment="1">
      <alignment horizontal="center" vertical="center" wrapText="1"/>
    </xf>
    <xf numFmtId="0" fontId="64" fillId="0" borderId="8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" fillId="0" borderId="116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2" borderId="18" xfId="0" applyFont="1" applyFill="1" applyBorder="1" applyAlignment="1">
      <alignment horizontal="center" wrapText="1"/>
    </xf>
    <xf numFmtId="0" fontId="1" fillId="2" borderId="51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1" fillId="0" borderId="51" xfId="0" applyFont="1" applyBorder="1" applyAlignment="1">
      <alignment horizontal="center" wrapText="1"/>
    </xf>
    <xf numFmtId="0" fontId="1" fillId="2" borderId="50" xfId="0" applyFont="1" applyFill="1" applyBorder="1" applyAlignment="1">
      <alignment horizontal="center" vertical="center"/>
    </xf>
    <xf numFmtId="0" fontId="1" fillId="2" borderId="93" xfId="0" applyFont="1" applyFill="1" applyBorder="1" applyAlignment="1">
      <alignment horizontal="center" vertical="center"/>
    </xf>
    <xf numFmtId="0" fontId="1" fillId="21" borderId="27" xfId="0" applyFont="1" applyFill="1" applyBorder="1" applyAlignment="1">
      <alignment horizontal="center" vertical="center" wrapText="1"/>
    </xf>
    <xf numFmtId="0" fontId="1" fillId="21" borderId="28" xfId="0" applyFont="1" applyFill="1" applyBorder="1" applyAlignment="1">
      <alignment horizontal="center" vertical="center" wrapText="1"/>
    </xf>
    <xf numFmtId="49" fontId="1" fillId="6" borderId="17" xfId="0" applyNumberFormat="1" applyFont="1" applyFill="1" applyBorder="1" applyAlignment="1">
      <alignment horizontal="center" vertical="center" wrapText="1"/>
    </xf>
    <xf numFmtId="49" fontId="1" fillId="6" borderId="58" xfId="0" applyNumberFormat="1" applyFont="1" applyFill="1" applyBorder="1" applyAlignment="1">
      <alignment horizontal="center" vertical="center" wrapText="1"/>
    </xf>
    <xf numFmtId="0" fontId="1" fillId="17" borderId="10" xfId="0" applyFont="1" applyFill="1" applyBorder="1" applyAlignment="1">
      <alignment horizontal="center" vertical="center" wrapText="1"/>
    </xf>
    <xf numFmtId="0" fontId="1" fillId="17" borderId="1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29" borderId="5" xfId="0" applyFont="1" applyFill="1" applyBorder="1" applyAlignment="1">
      <alignment horizontal="left" vertical="center" wrapText="1"/>
    </xf>
    <xf numFmtId="0" fontId="1" fillId="29" borderId="6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17" borderId="5" xfId="0" applyFont="1" applyFill="1" applyBorder="1" applyAlignment="1">
      <alignment horizontal="center" vertical="center" wrapText="1"/>
    </xf>
    <xf numFmtId="0" fontId="1" fillId="17" borderId="6" xfId="0" applyFont="1" applyFill="1" applyBorder="1" applyAlignment="1">
      <alignment horizontal="center" vertical="center" wrapText="1"/>
    </xf>
    <xf numFmtId="0" fontId="1" fillId="17" borderId="19" xfId="0" applyFont="1" applyFill="1" applyBorder="1" applyAlignment="1">
      <alignment horizontal="center" vertical="center" wrapText="1"/>
    </xf>
    <xf numFmtId="0" fontId="64" fillId="0" borderId="27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64" fillId="0" borderId="28" xfId="0" applyFont="1" applyBorder="1" applyAlignment="1">
      <alignment horizontal="center" vertical="center"/>
    </xf>
    <xf numFmtId="0" fontId="64" fillId="0" borderId="29" xfId="0" applyFont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 textRotation="255" wrapText="1"/>
    </xf>
    <xf numFmtId="0" fontId="0" fillId="0" borderId="15" xfId="0" applyBorder="1" applyAlignment="1">
      <alignment horizontal="center" textRotation="255" wrapText="1"/>
    </xf>
    <xf numFmtId="0" fontId="0" fillId="0" borderId="3" xfId="0" applyBorder="1" applyAlignment="1">
      <alignment horizontal="center" textRotation="255" wrapText="1"/>
    </xf>
    <xf numFmtId="0" fontId="15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39" borderId="67" xfId="0" applyFill="1" applyBorder="1" applyAlignment="1">
      <alignment horizontal="center" vertical="center"/>
    </xf>
    <xf numFmtId="0" fontId="0" fillId="39" borderId="71" xfId="0" applyFill="1" applyBorder="1" applyAlignment="1">
      <alignment horizontal="center" vertical="center"/>
    </xf>
    <xf numFmtId="0" fontId="0" fillId="39" borderId="89" xfId="0" applyFill="1" applyBorder="1" applyAlignment="1">
      <alignment horizontal="center" vertical="center"/>
    </xf>
    <xf numFmtId="0" fontId="0" fillId="39" borderId="90" xfId="0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 wrapText="1"/>
    </xf>
    <xf numFmtId="0" fontId="1" fillId="17" borderId="27" xfId="0" applyFont="1" applyFill="1" applyBorder="1" applyAlignment="1">
      <alignment horizontal="center" vertical="center" wrapText="1"/>
    </xf>
    <xf numFmtId="0" fontId="1" fillId="17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17" borderId="10" xfId="0" applyFont="1" applyFill="1" applyBorder="1" applyAlignment="1">
      <alignment horizontal="center"/>
    </xf>
    <xf numFmtId="0" fontId="1" fillId="17" borderId="20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9" fillId="0" borderId="7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1" fillId="6" borderId="10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 vertical="center" wrapText="1"/>
    </xf>
    <xf numFmtId="0" fontId="64" fillId="0" borderId="27" xfId="0" applyFont="1" applyBorder="1" applyAlignment="1">
      <alignment horizontal="center" vertical="center" wrapText="1"/>
    </xf>
    <xf numFmtId="0" fontId="64" fillId="0" borderId="95" xfId="0" applyFont="1" applyBorder="1" applyAlignment="1">
      <alignment horizontal="center" vertical="center" wrapText="1"/>
    </xf>
    <xf numFmtId="0" fontId="1" fillId="17" borderId="28" xfId="0" applyFont="1" applyFill="1" applyBorder="1" applyAlignment="1">
      <alignment horizontal="center" vertical="center" wrapText="1"/>
    </xf>
    <xf numFmtId="0" fontId="1" fillId="28" borderId="5" xfId="32" applyFont="1" applyFill="1" applyBorder="1" applyAlignment="1">
      <alignment horizontal="center" vertical="center" wrapText="1"/>
    </xf>
    <xf numFmtId="0" fontId="1" fillId="28" borderId="6" xfId="32" applyFont="1" applyFill="1" applyBorder="1" applyAlignment="1">
      <alignment horizontal="center" vertical="center" wrapText="1"/>
    </xf>
    <xf numFmtId="0" fontId="1" fillId="0" borderId="1" xfId="32" applyFont="1" applyBorder="1" applyAlignment="1">
      <alignment horizontal="center" vertical="center" wrapText="1"/>
    </xf>
    <xf numFmtId="0" fontId="1" fillId="28" borderId="1" xfId="32" applyFont="1" applyFill="1" applyBorder="1" applyAlignment="1">
      <alignment horizontal="center" vertical="center" wrapText="1"/>
    </xf>
    <xf numFmtId="0" fontId="1" fillId="6" borderId="5" xfId="32" applyFont="1" applyFill="1" applyBorder="1" applyAlignment="1">
      <alignment horizontal="center" vertical="center" wrapText="1"/>
    </xf>
    <xf numFmtId="0" fontId="1" fillId="6" borderId="6" xfId="32" applyFont="1" applyFill="1" applyBorder="1" applyAlignment="1">
      <alignment horizontal="center" vertical="center" wrapText="1"/>
    </xf>
    <xf numFmtId="0" fontId="1" fillId="0" borderId="5" xfId="32" applyFont="1" applyBorder="1" applyAlignment="1">
      <alignment horizontal="center" vertical="center" wrapText="1"/>
    </xf>
    <xf numFmtId="0" fontId="1" fillId="0" borderId="6" xfId="32" applyFont="1" applyBorder="1" applyAlignment="1">
      <alignment horizontal="center" vertical="center" wrapText="1"/>
    </xf>
    <xf numFmtId="0" fontId="1" fillId="6" borderId="27" xfId="32" applyFont="1" applyFill="1" applyBorder="1" applyAlignment="1">
      <alignment horizontal="center" vertical="center" wrapText="1"/>
    </xf>
    <xf numFmtId="0" fontId="1" fillId="6" borderId="28" xfId="32" applyFont="1" applyFill="1" applyBorder="1" applyAlignment="1">
      <alignment horizontal="center" vertical="center" wrapText="1"/>
    </xf>
    <xf numFmtId="0" fontId="26" fillId="16" borderId="2" xfId="32" applyFill="1" applyBorder="1" applyAlignment="1">
      <alignment horizontal="center"/>
    </xf>
    <xf numFmtId="0" fontId="26" fillId="16" borderId="3" xfId="32" applyFill="1" applyBorder="1" applyAlignment="1">
      <alignment horizontal="center"/>
    </xf>
    <xf numFmtId="0" fontId="1" fillId="0" borderId="10" xfId="32" applyFont="1" applyBorder="1" applyAlignment="1">
      <alignment horizontal="center"/>
    </xf>
    <xf numFmtId="0" fontId="1" fillId="0" borderId="20" xfId="32" applyFont="1" applyBorder="1" applyAlignment="1">
      <alignment horizontal="center"/>
    </xf>
    <xf numFmtId="0" fontId="1" fillId="0" borderId="12" xfId="32" applyFont="1" applyBorder="1" applyAlignment="1">
      <alignment horizontal="center"/>
    </xf>
    <xf numFmtId="0" fontId="26" fillId="0" borderId="0" xfId="32" applyAlignment="1">
      <alignment horizontal="left"/>
    </xf>
    <xf numFmtId="0" fontId="1" fillId="0" borderId="27" xfId="32" applyFont="1" applyBorder="1" applyAlignment="1">
      <alignment horizontal="center" vertical="center" wrapText="1"/>
    </xf>
    <xf numFmtId="0" fontId="1" fillId="0" borderId="31" xfId="32" applyFont="1" applyBorder="1" applyAlignment="1">
      <alignment horizontal="center" vertical="center" wrapText="1"/>
    </xf>
    <xf numFmtId="0" fontId="1" fillId="0" borderId="28" xfId="32" applyFont="1" applyBorder="1" applyAlignment="1">
      <alignment horizontal="center" vertical="center" wrapText="1"/>
    </xf>
    <xf numFmtId="0" fontId="1" fillId="0" borderId="19" xfId="32" applyFont="1" applyBorder="1" applyAlignment="1">
      <alignment horizontal="center" vertical="center" wrapText="1"/>
    </xf>
    <xf numFmtId="0" fontId="1" fillId="0" borderId="7" xfId="32" applyFont="1" applyBorder="1" applyAlignment="1">
      <alignment horizontal="center" vertical="center" wrapText="1"/>
    </xf>
    <xf numFmtId="0" fontId="1" fillId="0" borderId="10" xfId="32" applyFont="1" applyBorder="1" applyAlignment="1">
      <alignment horizontal="center" vertical="center" wrapText="1"/>
    </xf>
    <xf numFmtId="0" fontId="1" fillId="0" borderId="12" xfId="32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7" fontId="75" fillId="2" borderId="24" xfId="0" applyNumberFormat="1" applyFont="1" applyFill="1" applyBorder="1" applyAlignment="1">
      <alignment horizontal="center" vertical="center" wrapText="1"/>
    </xf>
    <xf numFmtId="167" fontId="75" fillId="2" borderId="62" xfId="0" applyNumberFormat="1" applyFont="1" applyFill="1" applyBorder="1" applyAlignment="1">
      <alignment horizontal="center" vertical="center" wrapText="1"/>
    </xf>
    <xf numFmtId="0" fontId="57" fillId="0" borderId="0" xfId="7" applyFont="1" applyFill="1" applyAlignment="1">
      <alignment wrapText="1"/>
    </xf>
    <xf numFmtId="0" fontId="40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 wrapText="1"/>
    </xf>
    <xf numFmtId="0" fontId="40" fillId="0" borderId="62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0" fillId="0" borderId="67" xfId="0" applyFont="1" applyBorder="1" applyAlignment="1">
      <alignment horizontal="center" vertical="center" wrapText="1"/>
    </xf>
    <xf numFmtId="0" fontId="40" fillId="0" borderId="68" xfId="0" applyFont="1" applyBorder="1" applyAlignment="1">
      <alignment horizontal="center" vertical="center" wrapText="1"/>
    </xf>
    <xf numFmtId="0" fontId="40" fillId="0" borderId="71" xfId="0" applyFont="1" applyBorder="1" applyAlignment="1">
      <alignment horizontal="center" vertical="center" wrapText="1"/>
    </xf>
    <xf numFmtId="0" fontId="84" fillId="46" borderId="10" xfId="32" applyFont="1" applyFill="1" applyBorder="1" applyAlignment="1">
      <alignment horizontal="center" vertical="center"/>
    </xf>
    <xf numFmtId="0" fontId="84" fillId="46" borderId="20" xfId="32" applyFont="1" applyFill="1" applyBorder="1" applyAlignment="1">
      <alignment horizontal="center" vertical="center"/>
    </xf>
    <xf numFmtId="0" fontId="84" fillId="46" borderId="12" xfId="32" applyFont="1" applyFill="1" applyBorder="1" applyAlignment="1">
      <alignment horizontal="center" vertical="center"/>
    </xf>
    <xf numFmtId="0" fontId="56" fillId="0" borderId="0" xfId="32" applyFont="1" applyAlignment="1">
      <alignment horizontal="center" vertical="center"/>
    </xf>
    <xf numFmtId="0" fontId="57" fillId="0" borderId="1" xfId="32" applyFont="1" applyBorder="1" applyAlignment="1">
      <alignment horizontal="center" vertical="center" wrapText="1"/>
    </xf>
    <xf numFmtId="0" fontId="57" fillId="0" borderId="24" xfId="32" applyFont="1" applyFill="1" applyBorder="1" applyAlignment="1">
      <alignment horizontal="center" vertical="center" wrapText="1"/>
    </xf>
    <xf numFmtId="0" fontId="57" fillId="0" borderId="62" xfId="32" applyFont="1" applyFill="1" applyBorder="1" applyAlignment="1">
      <alignment horizontal="center" vertical="center" wrapText="1"/>
    </xf>
    <xf numFmtId="0" fontId="57" fillId="0" borderId="1" xfId="32" applyFont="1" applyFill="1" applyBorder="1" applyAlignment="1">
      <alignment horizontal="center" vertical="center" wrapText="1"/>
    </xf>
    <xf numFmtId="167" fontId="75" fillId="2" borderId="82" xfId="0" applyNumberFormat="1" applyFont="1" applyFill="1" applyBorder="1" applyAlignment="1">
      <alignment horizontal="center" vertical="center" wrapText="1"/>
    </xf>
    <xf numFmtId="0" fontId="64" fillId="0" borderId="1" xfId="32" applyFont="1" applyBorder="1" applyAlignment="1">
      <alignment horizontal="left"/>
    </xf>
    <xf numFmtId="0" fontId="26" fillId="0" borderId="10" xfId="32" applyBorder="1" applyAlignment="1">
      <alignment horizontal="center"/>
    </xf>
    <xf numFmtId="0" fontId="26" fillId="0" borderId="20" xfId="32" applyBorder="1" applyAlignment="1">
      <alignment horizontal="center"/>
    </xf>
    <xf numFmtId="0" fontId="26" fillId="0" borderId="12" xfId="32" applyBorder="1" applyAlignment="1">
      <alignment horizontal="center"/>
    </xf>
    <xf numFmtId="49" fontId="26" fillId="0" borderId="89" xfId="32" applyNumberFormat="1" applyBorder="1" applyAlignment="1">
      <alignment horizontal="center" vertical="center" wrapText="1"/>
    </xf>
    <xf numFmtId="0" fontId="64" fillId="0" borderId="1" xfId="32" applyFont="1" applyBorder="1" applyAlignment="1">
      <alignment horizontal="center"/>
    </xf>
    <xf numFmtId="0" fontId="0" fillId="6" borderId="10" xfId="32" applyFont="1" applyFill="1" applyBorder="1" applyAlignment="1">
      <alignment horizontal="center"/>
    </xf>
    <xf numFmtId="0" fontId="26" fillId="6" borderId="20" xfId="32" applyFill="1" applyBorder="1" applyAlignment="1">
      <alignment horizontal="center"/>
    </xf>
    <xf numFmtId="0" fontId="26" fillId="6" borderId="12" xfId="32" applyFill="1" applyBorder="1" applyAlignment="1">
      <alignment horizontal="center"/>
    </xf>
    <xf numFmtId="49" fontId="9" fillId="0" borderId="0" xfId="32" applyNumberFormat="1" applyFont="1" applyBorder="1" applyAlignment="1">
      <alignment horizontal="center" wrapText="1"/>
    </xf>
    <xf numFmtId="49" fontId="9" fillId="0" borderId="29" xfId="32" applyNumberFormat="1" applyFont="1" applyBorder="1" applyAlignment="1">
      <alignment horizontal="center" wrapText="1"/>
    </xf>
    <xf numFmtId="0" fontId="1" fillId="15" borderId="10" xfId="32" applyFont="1" applyFill="1" applyBorder="1" applyAlignment="1">
      <alignment horizontal="center"/>
    </xf>
    <xf numFmtId="0" fontId="1" fillId="15" borderId="20" xfId="32" applyFont="1" applyFill="1" applyBorder="1" applyAlignment="1">
      <alignment horizontal="center"/>
    </xf>
    <xf numFmtId="0" fontId="1" fillId="16" borderId="20" xfId="32" applyFont="1" applyFill="1" applyBorder="1" applyAlignment="1">
      <alignment horizontal="center"/>
    </xf>
    <xf numFmtId="0" fontId="1" fillId="16" borderId="12" xfId="32" applyFont="1" applyFill="1" applyBorder="1" applyAlignment="1">
      <alignment horizontal="center"/>
    </xf>
    <xf numFmtId="0" fontId="1" fillId="0" borderId="20" xfId="32" applyFont="1" applyBorder="1" applyAlignment="1">
      <alignment horizontal="center" vertical="center" wrapText="1"/>
    </xf>
    <xf numFmtId="168" fontId="0" fillId="0" borderId="27" xfId="0" applyNumberFormat="1" applyBorder="1" applyAlignment="1">
      <alignment horizontal="center" vertical="center" wrapText="1"/>
    </xf>
    <xf numFmtId="168" fontId="0" fillId="0" borderId="31" xfId="0" applyNumberFormat="1" applyBorder="1" applyAlignment="1">
      <alignment horizontal="center" vertical="center" wrapText="1"/>
    </xf>
    <xf numFmtId="168" fontId="0" fillId="0" borderId="28" xfId="0" applyNumberFormat="1" applyBorder="1" applyAlignment="1">
      <alignment horizontal="center" vertical="center" wrapText="1"/>
    </xf>
    <xf numFmtId="168" fontId="0" fillId="0" borderId="11" xfId="0" applyNumberFormat="1" applyBorder="1" applyAlignment="1">
      <alignment horizontal="center" vertical="center" wrapText="1"/>
    </xf>
    <xf numFmtId="168" fontId="0" fillId="0" borderId="48" xfId="0" applyNumberFormat="1" applyBorder="1" applyAlignment="1">
      <alignment horizontal="center" vertical="center" wrapText="1"/>
    </xf>
    <xf numFmtId="168" fontId="0" fillId="0" borderId="13" xfId="0" applyNumberFormat="1" applyBorder="1" applyAlignment="1">
      <alignment horizontal="center" vertical="center" wrapText="1"/>
    </xf>
    <xf numFmtId="168" fontId="0" fillId="0" borderId="18" xfId="0" applyNumberFormat="1" applyBorder="1" applyAlignment="1">
      <alignment horizontal="center" vertical="center" wrapText="1"/>
    </xf>
    <xf numFmtId="168" fontId="0" fillId="0" borderId="15" xfId="0" applyNumberFormat="1" applyBorder="1" applyAlignment="1">
      <alignment horizontal="center" vertical="center" wrapText="1"/>
    </xf>
    <xf numFmtId="168" fontId="0" fillId="0" borderId="51" xfId="0" applyNumberFormat="1" applyBorder="1" applyAlignment="1">
      <alignment horizontal="center" vertical="center" wrapText="1"/>
    </xf>
    <xf numFmtId="168" fontId="0" fillId="0" borderId="50" xfId="0" applyNumberFormat="1" applyBorder="1" applyAlignment="1">
      <alignment horizontal="center" vertical="center" wrapText="1"/>
    </xf>
    <xf numFmtId="168" fontId="0" fillId="0" borderId="86" xfId="0" applyNumberFormat="1" applyBorder="1" applyAlignment="1">
      <alignment horizontal="center" vertical="center" wrapText="1"/>
    </xf>
    <xf numFmtId="168" fontId="0" fillId="0" borderId="93" xfId="0" applyNumberForma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68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168" fontId="0" fillId="0" borderId="85" xfId="0" applyNumberFormat="1" applyBorder="1" applyAlignment="1">
      <alignment horizontal="center" vertical="center" wrapText="1"/>
    </xf>
    <xf numFmtId="168" fontId="0" fillId="0" borderId="58" xfId="0" applyNumberFormat="1" applyBorder="1" applyAlignment="1">
      <alignment horizontal="center" vertical="center" wrapText="1"/>
    </xf>
    <xf numFmtId="168" fontId="0" fillId="0" borderId="17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5" borderId="31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1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72" xfId="0" applyFont="1" applyBorder="1" applyAlignment="1">
      <alignment horizontal="center" vertical="center" wrapText="1"/>
    </xf>
    <xf numFmtId="0" fontId="38" fillId="0" borderId="0" xfId="0" applyFont="1" applyAlignment="1">
      <alignment horizontal="center" wrapText="1"/>
    </xf>
    <xf numFmtId="0" fontId="38" fillId="0" borderId="61" xfId="0" applyFont="1" applyBorder="1" applyAlignment="1">
      <alignment horizontal="center" wrapText="1"/>
    </xf>
    <xf numFmtId="0" fontId="38" fillId="17" borderId="61" xfId="0" applyFont="1" applyFill="1" applyBorder="1" applyAlignment="1">
      <alignment horizontal="center" wrapText="1"/>
    </xf>
    <xf numFmtId="0" fontId="38" fillId="0" borderId="61" xfId="3" applyFont="1" applyBorder="1" applyAlignment="1">
      <alignment horizontal="center"/>
    </xf>
    <xf numFmtId="0" fontId="29" fillId="0" borderId="2" xfId="3" applyBorder="1" applyAlignment="1">
      <alignment horizontal="center"/>
    </xf>
    <xf numFmtId="0" fontId="29" fillId="0" borderId="3" xfId="3" applyBorder="1" applyAlignment="1">
      <alignment horizontal="center"/>
    </xf>
    <xf numFmtId="0" fontId="84" fillId="0" borderId="0" xfId="35" applyNumberFormat="1" applyFont="1" applyAlignment="1">
      <alignment horizontal="center" wrapText="1"/>
    </xf>
    <xf numFmtId="4" fontId="34" fillId="13" borderId="24" xfId="3" applyNumberFormat="1" applyFont="1" applyFill="1" applyBorder="1" applyAlignment="1">
      <alignment horizontal="center"/>
    </xf>
    <xf numFmtId="4" fontId="34" fillId="13" borderId="62" xfId="3" applyNumberFormat="1" applyFont="1" applyFill="1" applyBorder="1" applyAlignment="1">
      <alignment horizontal="center"/>
    </xf>
    <xf numFmtId="4" fontId="34" fillId="13" borderId="82" xfId="3" applyNumberFormat="1" applyFont="1" applyFill="1" applyBorder="1" applyAlignment="1">
      <alignment horizontal="center"/>
    </xf>
    <xf numFmtId="0" fontId="80" fillId="32" borderId="109" xfId="35" applyNumberFormat="1" applyFont="1" applyFill="1" applyBorder="1" applyAlignment="1">
      <alignment horizontal="left" vertical="top" wrapText="1"/>
    </xf>
    <xf numFmtId="4" fontId="34" fillId="0" borderId="2" xfId="3" applyNumberFormat="1" applyFont="1" applyBorder="1" applyAlignment="1"/>
    <xf numFmtId="4" fontId="34" fillId="0" borderId="15" xfId="3" applyNumberFormat="1" applyFont="1" applyBorder="1" applyAlignment="1"/>
    <xf numFmtId="4" fontId="34" fillId="0" borderId="2" xfId="3" applyNumberFormat="1" applyFont="1" applyBorder="1" applyAlignment="1">
      <alignment horizontal="center"/>
    </xf>
    <xf numFmtId="4" fontId="34" fillId="0" borderId="15" xfId="3" applyNumberFormat="1" applyFont="1" applyBorder="1" applyAlignment="1">
      <alignment horizontal="center"/>
    </xf>
    <xf numFmtId="0" fontId="39" fillId="0" borderId="89" xfId="3" applyFont="1" applyBorder="1" applyAlignment="1">
      <alignment horizontal="left" vertical="center" wrapText="1"/>
    </xf>
    <xf numFmtId="0" fontId="39" fillId="0" borderId="91" xfId="3" applyFont="1" applyBorder="1" applyAlignment="1">
      <alignment horizontal="left" vertical="center" wrapText="1"/>
    </xf>
    <xf numFmtId="0" fontId="39" fillId="0" borderId="3" xfId="3" applyFont="1" applyBorder="1" applyAlignment="1">
      <alignment horizontal="center" vertical="center" wrapText="1"/>
    </xf>
    <xf numFmtId="0" fontId="39" fillId="0" borderId="2" xfId="3" applyFont="1" applyBorder="1" applyAlignment="1">
      <alignment horizontal="center" vertical="center" wrapText="1"/>
    </xf>
    <xf numFmtId="4" fontId="34" fillId="0" borderId="21" xfId="3" applyNumberFormat="1" applyFont="1" applyBorder="1" applyAlignment="1">
      <alignment horizontal="center"/>
    </xf>
    <xf numFmtId="4" fontId="34" fillId="0" borderId="0" xfId="3" applyNumberFormat="1" applyFont="1" applyBorder="1" applyAlignment="1">
      <alignment horizontal="center"/>
    </xf>
    <xf numFmtId="4" fontId="34" fillId="0" borderId="1" xfId="3" applyNumberFormat="1" applyFont="1" applyBorder="1" applyAlignment="1">
      <alignment horizontal="center"/>
    </xf>
    <xf numFmtId="0" fontId="37" fillId="0" borderId="89" xfId="0" applyFont="1" applyBorder="1" applyAlignment="1">
      <alignment horizontal="center" vertical="center" wrapText="1"/>
    </xf>
    <xf numFmtId="0" fontId="37" fillId="0" borderId="9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center" vertical="center" wrapText="1"/>
    </xf>
    <xf numFmtId="14" fontId="37" fillId="0" borderId="2" xfId="0" applyNumberFormat="1" applyFont="1" applyBorder="1" applyAlignment="1">
      <alignment horizontal="center" vertical="center" wrapText="1"/>
    </xf>
    <xf numFmtId="4" fontId="37" fillId="0" borderId="2" xfId="0" applyNumberFormat="1" applyFont="1" applyBorder="1" applyAlignment="1">
      <alignment horizontal="center" vertical="center" wrapText="1"/>
    </xf>
    <xf numFmtId="4" fontId="37" fillId="0" borderId="15" xfId="0" applyNumberFormat="1" applyFont="1" applyBorder="1" applyAlignment="1">
      <alignment horizontal="center" vertical="center" wrapText="1"/>
    </xf>
    <xf numFmtId="43" fontId="37" fillId="0" borderId="1" xfId="4" applyFont="1" applyBorder="1" applyAlignment="1">
      <alignment horizontal="center" vertical="center"/>
    </xf>
    <xf numFmtId="43" fontId="37" fillId="0" borderId="2" xfId="4" applyFont="1" applyBorder="1" applyAlignment="1">
      <alignment horizontal="center" vertical="center"/>
    </xf>
    <xf numFmtId="10" fontId="29" fillId="0" borderId="50" xfId="3" applyNumberFormat="1" applyBorder="1" applyAlignment="1">
      <alignment horizontal="center"/>
    </xf>
    <xf numFmtId="10" fontId="29" fillId="0" borderId="86" xfId="3" applyNumberFormat="1" applyBorder="1" applyAlignment="1">
      <alignment horizontal="center"/>
    </xf>
    <xf numFmtId="10" fontId="29" fillId="0" borderId="93" xfId="3" applyNumberFormat="1" applyBorder="1" applyAlignment="1">
      <alignment horizontal="center"/>
    </xf>
    <xf numFmtId="0" fontId="39" fillId="0" borderId="2" xfId="3" applyFont="1" applyBorder="1" applyAlignment="1">
      <alignment horizontal="left" vertical="center" wrapText="1"/>
    </xf>
    <xf numFmtId="0" fontId="39" fillId="0" borderId="3" xfId="3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10" fontId="37" fillId="0" borderId="1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 wrapText="1"/>
    </xf>
    <xf numFmtId="0" fontId="83" fillId="0" borderId="0" xfId="35" applyNumberFormat="1" applyFont="1" applyAlignment="1">
      <alignment horizontal="center" wrapText="1"/>
    </xf>
    <xf numFmtId="0" fontId="31" fillId="0" borderId="0" xfId="0" applyFont="1" applyAlignment="1">
      <alignment horizontal="left" wrapText="1"/>
    </xf>
    <xf numFmtId="0" fontId="80" fillId="32" borderId="0" xfId="36" applyNumberFormat="1" applyFont="1" applyFill="1" applyBorder="1" applyAlignment="1">
      <alignment horizontal="left" vertical="top" wrapText="1"/>
    </xf>
    <xf numFmtId="0" fontId="80" fillId="32" borderId="109" xfId="36" applyNumberFormat="1" applyFont="1" applyFill="1" applyBorder="1" applyAlignment="1">
      <alignment horizontal="left" vertical="top" wrapText="1"/>
    </xf>
    <xf numFmtId="0" fontId="84" fillId="0" borderId="0" xfId="36" applyNumberFormat="1" applyFont="1" applyAlignment="1">
      <alignment horizontal="center" wrapText="1"/>
    </xf>
    <xf numFmtId="0" fontId="83" fillId="0" borderId="0" xfId="36" applyNumberFormat="1" applyFont="1" applyAlignment="1">
      <alignment horizontal="center" wrapText="1"/>
    </xf>
    <xf numFmtId="4" fontId="34" fillId="0" borderId="24" xfId="3" applyNumberFormat="1" applyFont="1" applyBorder="1" applyAlignment="1">
      <alignment horizontal="center"/>
    </xf>
    <xf numFmtId="4" fontId="34" fillId="0" borderId="62" xfId="3" applyNumberFormat="1" applyFont="1" applyBorder="1" applyAlignment="1">
      <alignment horizontal="center"/>
    </xf>
    <xf numFmtId="4" fontId="34" fillId="0" borderId="82" xfId="3" applyNumberFormat="1" applyFont="1" applyBorder="1" applyAlignment="1">
      <alignment horizontal="center"/>
    </xf>
    <xf numFmtId="4" fontId="34" fillId="0" borderId="1" xfId="3" applyNumberFormat="1" applyFont="1" applyBorder="1" applyAlignment="1"/>
    <xf numFmtId="0" fontId="39" fillId="0" borderId="1" xfId="3" applyFont="1" applyBorder="1" applyAlignment="1">
      <alignment horizontal="center" vertical="center" wrapText="1"/>
    </xf>
    <xf numFmtId="0" fontId="84" fillId="0" borderId="111" xfId="36" applyNumberFormat="1" applyFont="1" applyBorder="1" applyAlignment="1">
      <alignment horizontal="center" wrapText="1"/>
    </xf>
    <xf numFmtId="0" fontId="80" fillId="32" borderId="112" xfId="36" applyNumberFormat="1" applyFont="1" applyFill="1" applyBorder="1" applyAlignment="1">
      <alignment horizontal="left" vertical="top" wrapText="1"/>
    </xf>
    <xf numFmtId="0" fontId="38" fillId="0" borderId="23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48" xfId="0" applyFont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50" xfId="0" applyFont="1" applyFill="1" applyBorder="1" applyAlignment="1">
      <alignment horizontal="center" vertical="center" wrapText="1"/>
    </xf>
    <xf numFmtId="0" fontId="1" fillId="5" borderId="9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29" borderId="5" xfId="0" applyFont="1" applyFill="1" applyBorder="1" applyAlignment="1">
      <alignment horizontal="center" vertical="center" wrapText="1"/>
    </xf>
    <xf numFmtId="0" fontId="1" fillId="29" borderId="6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27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1" fillId="0" borderId="50" xfId="0" applyFont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wrapText="1"/>
    </xf>
    <xf numFmtId="0" fontId="1" fillId="5" borderId="51" xfId="0" applyFont="1" applyFill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58" xfId="0" applyFont="1" applyBorder="1" applyAlignment="1">
      <alignment horizontal="center" wrapText="1"/>
    </xf>
    <xf numFmtId="0" fontId="1" fillId="0" borderId="50" xfId="0" applyFont="1" applyBorder="1" applyAlignment="1">
      <alignment horizontal="center" wrapText="1"/>
    </xf>
    <xf numFmtId="0" fontId="1" fillId="0" borderId="93" xfId="0" applyFont="1" applyBorder="1" applyAlignment="1">
      <alignment horizontal="center" wrapText="1"/>
    </xf>
    <xf numFmtId="0" fontId="3" fillId="0" borderId="68" xfId="3" applyFont="1" applyBorder="1" applyAlignment="1">
      <alignment horizontal="center"/>
    </xf>
    <xf numFmtId="0" fontId="3" fillId="0" borderId="71" xfId="3" applyFont="1" applyBorder="1" applyAlignment="1">
      <alignment horizontal="center"/>
    </xf>
    <xf numFmtId="167" fontId="113" fillId="37" borderId="5" xfId="3" applyNumberFormat="1" applyFont="1" applyFill="1" applyBorder="1" applyAlignment="1">
      <alignment horizontal="center" vertical="center" wrapText="1"/>
    </xf>
    <xf numFmtId="167" fontId="113" fillId="37" borderId="33" xfId="3" applyNumberFormat="1" applyFont="1" applyFill="1" applyBorder="1" applyAlignment="1">
      <alignment horizontal="center" vertical="center" wrapText="1"/>
    </xf>
    <xf numFmtId="0" fontId="114" fillId="11" borderId="115" xfId="3" applyFont="1" applyFill="1" applyBorder="1" applyAlignment="1">
      <alignment horizontal="center" vertical="center" wrapText="1"/>
    </xf>
    <xf numFmtId="0" fontId="114" fillId="11" borderId="116" xfId="3" applyFont="1" applyFill="1" applyBorder="1" applyAlignment="1">
      <alignment horizontal="center" vertical="center" wrapText="1"/>
    </xf>
    <xf numFmtId="0" fontId="114" fillId="11" borderId="70" xfId="3" applyFont="1" applyFill="1" applyBorder="1" applyAlignment="1">
      <alignment horizontal="center" vertical="center" wrapText="1"/>
    </xf>
    <xf numFmtId="2" fontId="114" fillId="38" borderId="69" xfId="3" applyNumberFormat="1" applyFont="1" applyFill="1" applyBorder="1" applyAlignment="1">
      <alignment horizontal="center" vertical="center" wrapText="1"/>
    </xf>
    <xf numFmtId="2" fontId="114" fillId="38" borderId="116" xfId="3" applyNumberFormat="1" applyFont="1" applyFill="1" applyBorder="1" applyAlignment="1">
      <alignment horizontal="center" vertical="center" wrapText="1"/>
    </xf>
    <xf numFmtId="2" fontId="114" fillId="38" borderId="117" xfId="3" applyNumberFormat="1" applyFont="1" applyFill="1" applyBorder="1" applyAlignment="1">
      <alignment horizontal="center" vertical="center" wrapText="1"/>
    </xf>
  </cellXfs>
  <cellStyles count="43">
    <cellStyle name="Dziesiętny 2" xfId="8"/>
    <cellStyle name="Normalny 2" xfId="9"/>
    <cellStyle name="Normalny 3" xfId="10"/>
    <cellStyle name="Normalny 4" xfId="11"/>
    <cellStyle name="Normalny 5" xfId="12"/>
    <cellStyle name="Normalny 6" xfId="13"/>
    <cellStyle name="Normalny 7" xfId="14"/>
    <cellStyle name="Обычный" xfId="0" builtinId="0"/>
    <cellStyle name="Обычный 2" xfId="3"/>
    <cellStyle name="Обычный 2 2" xfId="15"/>
    <cellStyle name="Обычный 2 3" xfId="32"/>
    <cellStyle name="Обычный 3" xfId="16"/>
    <cellStyle name="Обычный 3 2" xfId="17"/>
    <cellStyle name="Обычный 3 2 2" xfId="18"/>
    <cellStyle name="Обычный 4" xfId="7"/>
    <cellStyle name="Обычный 4 2" xfId="19"/>
    <cellStyle name="Обычный 5" xfId="20"/>
    <cellStyle name="Обычный 6" xfId="21"/>
    <cellStyle name="Обычный 7" xfId="22"/>
    <cellStyle name="Обычный 7 2" xfId="38"/>
    <cellStyle name="Обычный 8" xfId="39"/>
    <cellStyle name="Обычный_Админ. расх." xfId="37"/>
    <cellStyle name="Обычный_налоги" xfId="36"/>
    <cellStyle name="Обычный_Образец шаблона Сетевые организации" xfId="42"/>
    <cellStyle name="Обычный_Произв. прогр 2009  для мэрии(комитет финанс)" xfId="6"/>
    <cellStyle name="Обычный_расшифровка кредитов" xfId="35"/>
    <cellStyle name="Обычный_расшифровки ВО" xfId="2"/>
    <cellStyle name="Процентный" xfId="34" builtinId="5"/>
    <cellStyle name="Процентный 2" xfId="23"/>
    <cellStyle name="Процентный 2 2" xfId="5"/>
    <cellStyle name="Процентный 2 3" xfId="33"/>
    <cellStyle name="Процентный 3" xfId="24"/>
    <cellStyle name="Процентный 4" xfId="25"/>
    <cellStyle name="Процентный 5" xfId="26"/>
    <cellStyle name="Процентный 5 2" xfId="27"/>
    <cellStyle name="Процентный 6" xfId="28"/>
    <cellStyle name="Процентный 7" xfId="29"/>
    <cellStyle name="Процентный 8" xfId="31"/>
    <cellStyle name="Процентный 9" xfId="40"/>
    <cellStyle name="Финансовый" xfId="1" builtinId="3"/>
    <cellStyle name="Финансовый 2" xfId="4"/>
    <cellStyle name="Финансовый 2 2" xfId="41"/>
    <cellStyle name="Финансовый 3" xfId="30"/>
  </cellStyles>
  <dxfs count="0"/>
  <tableStyles count="0" defaultTableStyle="TableStyleMedium2" defaultPivotStyle="PivotStyleLight16"/>
  <colors>
    <mruColors>
      <color rgb="FFFFCCCC"/>
      <color rgb="FFFFFFCC"/>
      <color rgb="FFDAEEF3"/>
      <color rgb="FFCCECFF"/>
      <color rgb="FF99CCFF"/>
      <color rgb="FFFFCC66"/>
      <color rgb="FF00FF0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externalLink" Target="externalLinks/externalLink9.xml"/><Relationship Id="rId50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externalLink" Target="externalLinks/externalLink7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6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5.xml"/><Relationship Id="rId48" Type="http://schemas.openxmlformats.org/officeDocument/2006/relationships/externalLink" Target="externalLinks/externalLink10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5;&#1083;&#1072;&#1085;\&#1057;&#1077;&#1073;&#1077;&#1089;&#1090;&#1086;&#1080;&#1084;&#1086;&#1089;&#1090;&#1100;.&#1055;&#1083;&#1072;&#1085;%20%202009%20&#1075;\&#1063;&#1077;&#1088;&#1085;&#1086;&#1074;&#1080;&#1082;%20.&#1055;&#1083;&#1072;&#1085;&#1086;&#1074;&#1072;&#1103;%20&#1089;&#1077;&#1073;&#1077;&#1089;&#1090;&#1086;&#1080;&#1084;&#1086;&#1089;&#1090;&#1100;%20%20&#1085;&#1072;%202009%20&#107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Downloads\Documents\&#1058;&#1072;&#1088;&#1080;&#1092;&#1099;%20&#1074;&#1086;&#1076;&#1072;%20&#1080;%20&#1074;&#1086;&#1076;&#1086;&#1086;&#1090;&#1074;&#1077;&#1076;&#1077;&#1085;&#1080;&#1077;\&#1052;&#1055;%20&#1050;&#1061;%20&#1042;&#1086;&#1076;&#1086;&#1082;&#1072;&#1085;&#1072;&#1083;%20&#1050;&#1072;&#1083;&#1080;&#1085;&#1080;&#1085;&#1075;&#1088;&#1072;&#1076;\&#1052;&#1055;%20&#1050;&#1061;%20&#1042;&#1086;&#1076;&#1086;&#1082;&#1072;&#1085;&#1072;&#1083;%202016-2018\&#1056;&#1072;&#1089;&#1095;&#1105;&#1090;%20&#1085;&#1072;%20&#1089;&#1091;&#1073;&#1089;&#1080;&#1076;&#1080;&#1080;%20&#1076;&#1083;&#1103;%20&#1060;&#1077;&#1076;&#1086;&#1089;&#1077;&#1077;&#1074;&#1072;&#1094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o-03.VK39/Desktop/&#1055;&#1056;&#1054;&#1045;&#1050;&#1058;%20&#1057;&#1051;&#1059;&#1046;&#1041;&#1067;%202016_%20&#1040;&#1085;&#1072;&#1083;&#1080;&#107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Downloads\&#1056;&#1072;&#1089;&#1095;&#1077;&#1090;%20&#1080;&#1085;&#1076;&#1077;&#1082;&#1089;&#1072;%20&#1080;&#1079;&#1084;&#1077;&#1085;&#1077;&#1085;&#1080;&#1103;%20&#1072;&#1082;&#1090;&#1080;&#1074;&#1086;&#107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5;&#1083;&#1072;&#1085;\&#1057;&#1077;&#1073;&#1077;&#1089;&#1090;&#1086;&#1080;&#1084;&#1086;&#1089;&#1090;&#1100;.&#1055;&#1083;&#1072;&#1085;%20%202009%20&#1075;\&#1063;&#1077;&#1088;&#1085;&#1086;&#1074;&#1080;&#1082;%20.&#1055;&#1083;&#1072;&#1085;&#1086;&#1074;&#1072;&#1103;%20&#1089;&#1077;&#1073;&#1077;&#1089;&#1090;&#1086;&#1080;&#1084;&#1086;&#1089;&#1090;&#1100;%20%20&#1085;&#1072;%202009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55;&#1083;&#1072;&#1085;\&#1057;&#1077;&#1073;&#1077;&#1089;&#1090;&#1086;&#1080;&#1084;&#1086;&#1089;&#1090;&#1100;.&#1055;&#1083;&#1072;&#1085;%20%202009%20&#1075;\&#1063;&#1077;&#1088;&#1085;&#1086;&#1074;&#1080;&#1082;%20.&#1055;&#1083;&#1072;&#1085;&#1086;&#1074;&#1072;&#1103;%20&#1089;&#1077;&#1073;&#1077;&#1089;&#1090;&#1086;&#1080;&#1084;&#1086;&#1089;&#1090;&#1100;%20%20&#1085;&#1072;%202009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55;&#1088;&#1086;&#1077;&#1082;&#1090;%202009\&#1052;&#1101;&#1088;&#1080;&#1103;%20&#1087;&#1088;&#1086;&#1077;&#1082;&#1090;\&#1090;&#1072;&#1088;&#1080;&#1092;%20&#1085;&#1072;%202009%20&#1075;%20&#1076;&#1083;&#1103;%20&#1052;&#1101;&#1088;&#1080;&#1080;\&#1056;&#1072;&#1089;&#1095;&#1077;&#1090;%20&#1090;&#1072;&#1088;&#1080;&#1092;&#1086;&#1074;%20%20%20&#1085;&#1072;%202009%20&#1075;%20(version%20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5;&#1088;&#1086;&#1077;&#1082;&#1090;%202009\&#1052;&#1101;&#1088;&#1080;&#1103;%20&#1087;&#1088;&#1086;&#1077;&#1082;&#1090;\&#1090;&#1072;&#1088;&#1080;&#1092;%20&#1085;&#1072;%202009%20&#1075;%20&#1076;&#1083;&#1103;%20&#1052;&#1101;&#1088;&#1080;&#1080;\&#1056;&#1072;&#1089;&#1095;&#1077;&#1090;%20&#1090;&#1072;&#1088;&#1080;&#1092;&#1086;&#1074;%20%20%20&#1085;&#1072;%202009%20&#1075;%20(version%20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Downloads\&#1054;&#1090;&#1087;&#1088;&#1072;&#1074;&#1082;&#1072;_&#1052;&#1040;&#1049;_&#1052;&#1059;&#1055;%20&#1050;&#1061;%20&#1042;&#1086;&#1076;&#1086;&#1082;&#1072;&#1085;&#1072;&#1083;%20&#1044;&#1051;&#1071;%20&#1090;&#1072;&#1088;&#1080;&#1092;&#1086;&#1074;%202016_&#1076;&#1083;&#1103;%20&#1057;&#1051;&#1059;&#1046;&#1041;&#1067;%20-%20&#1091;&#1090;&#1086;&#1095;&#1085;&#1077;&#1085;&#1085;&#1099;&#1081;%20&#1089;%20&#1086;&#1073;&#1097;&#1077;&#1093;&#1086;&#1079;&#1103;&#1081;&#1089;&#1090;&#1074;&#1077;&#1085;&#1085;&#1099;&#1084;&#1080;%20&#1088;&#1072;&#1089;&#1093;&#1086;&#1076;&#1072;&#1084;&#108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56;&#1054;&#1045;&#1050;&#1058;%20&#1057;&#1051;&#1059;&#1046;&#1041;&#1067;%202016_%20&#1040;&#1085;&#1072;&#1083;&#1080;&#107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1060;&#1069;&#1054;\&#1047;&#1072;&#1090;&#1088;&#1072;&#1090;&#1099;\2014\&#1047;&#1072;&#1090;&#1088;&#1072;&#1090;&#1099;%202014&#1075;%20+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1060;&#1069;&#1054;\&#1047;&#1072;&#1090;&#1088;&#1072;&#1090;&#1099;\2015\&#1047;&#1072;&#1090;&#1088;&#1072;&#1090;&#1099;%202015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тариф  канал"/>
      <sheetName val=" тариф  вода"/>
      <sheetName val="затраты по статьям"/>
      <sheetName val="кальк вода "/>
      <sheetName val="кальк вода  ЧК"/>
      <sheetName val="калькул  стоки"/>
      <sheetName val="калькул стоки Чкал ЛОС.КНС"/>
      <sheetName val="Пр_прогр_вода__1"/>
      <sheetName val="пр_ прогр_канал_ _ 2"/>
      <sheetName val="электр _5"/>
      <sheetName val="Реагенты _6 "/>
      <sheetName val="Амортиз__7"/>
      <sheetName val="Амортиз доп"/>
      <sheetName val="В-К"/>
      <sheetName val="Ремонт__8 _тек _рем_"/>
      <sheetName val="_план _стад пр_ва 2009"/>
      <sheetName val="Ремонт__8 _кап_рем_"/>
      <sheetName val="проект плана-2009"/>
      <sheetName val="опл труда 9"/>
      <sheetName val="опл труда 9 ЧК"/>
      <sheetName val=" прямые"/>
      <sheetName val="Покуп вода _11"/>
      <sheetName val="Перед и покуп сточ вод__11 "/>
      <sheetName val="Проч прям__жэу_ симп_ сберк _12"/>
      <sheetName val="Цехов__10"/>
      <sheetName val="Цехов_доп"/>
      <sheetName val="цех"/>
      <sheetName val="Общеэкспл__13"/>
      <sheetName val=" общеэксплуат"/>
      <sheetName val="свод Налоги"/>
      <sheetName val="Налоги_выплаты из приб_14"/>
      <sheetName val="Налоги_выплаты из приб_принят"/>
      <sheetName val="Прил__15"/>
      <sheetName val="распределе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ВС_2016"/>
      <sheetName val="Экспертиза ВС"/>
      <sheetName val="расшифровки ВС_2016"/>
      <sheetName val="Цеховые расходы "/>
      <sheetName val="Зар.плата осн.персонала"/>
      <sheetName val="Админ. расх. (2)"/>
      <sheetName val="Кап.вложения"/>
      <sheetName val="ИПЦ"/>
      <sheetName val="Прилож1.1 по-новому"/>
      <sheetName val="Смета ВО_2016"/>
      <sheetName val="Экспертиза ВО"/>
      <sheetName val="расшифровки ВО_2016"/>
      <sheetName val="эксплуат. затр. по очистным"/>
      <sheetName val="затраты на ремонт  _6 мес.2015"/>
      <sheetName val="по объемам_2013"/>
      <sheetName val="по объемам_2014 (2)"/>
      <sheetName val="сбытовые расходы"/>
      <sheetName val="расшифровка кредитов"/>
      <sheetName val="охрана озер"/>
      <sheetName val="налоги"/>
      <sheetName val="материалы- ВС,ВО"/>
      <sheetName val="ФОТ по тек. и капит. ремонту"/>
      <sheetName val="Неподконтрольные расходы В0"/>
      <sheetName val="Базовый уровень опер.расх.ВО"/>
      <sheetName val="Расчёт ВО методом индексаци "/>
      <sheetName val="Лист1"/>
      <sheetName val="Неподконтрольные расходы ВС"/>
      <sheetName val="Базовый уровень опер.расх.ВС "/>
      <sheetName val="Расчёт ВС методом индексации"/>
      <sheetName val="опер. расх. всего_версия май"/>
      <sheetName val="индекс изменения активоа"/>
      <sheetName val="Лист3"/>
      <sheetName val="Лист2"/>
    </sheetNames>
    <sheetDataSet>
      <sheetData sheetId="0" refreshError="1"/>
      <sheetData sheetId="1" refreshError="1"/>
      <sheetData sheetId="2">
        <row r="225">
          <cell r="O225">
            <v>792.81600000000003</v>
          </cell>
          <cell r="P225">
            <v>788.08600000000001</v>
          </cell>
          <cell r="Q225">
            <v>790.74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ёт ВС методом индексации"/>
      <sheetName val="Неподконтрольные расходы ВС"/>
      <sheetName val="Базовый уровень опер.расх.ВС "/>
      <sheetName val="Смета ВС_2016 (анализ)"/>
      <sheetName val="Смета ВС_2016"/>
      <sheetName val="расшифровки ВС_2016"/>
      <sheetName val="Цеховые расходы "/>
      <sheetName val="Зар.плата осн.персонала"/>
      <sheetName val="Баланс ВС_2016 (2)"/>
      <sheetName val="Баланс ВО 2016"/>
      <sheetName val="Баланс ВС_2016"/>
      <sheetName val="Админ. расх. (2)"/>
      <sheetName val="Кап.вложения"/>
      <sheetName val="ИПЦ"/>
      <sheetName val="Прилож1.1 по-новому"/>
      <sheetName val="Смета ВО_2016"/>
      <sheetName val="Смета ВО_2016 _анализ"/>
      <sheetName val="Экспертиза ВО"/>
      <sheetName val="расшифровки ВО_2016"/>
      <sheetName val="эксплуат. затр. по очистным"/>
      <sheetName val="затраты на ремонт  _6 мес.2015"/>
      <sheetName val="по объемам_2013"/>
      <sheetName val="по объемам_2014 (2)"/>
      <sheetName val="сбытовые расходы"/>
      <sheetName val="расшифровка кредитов"/>
      <sheetName val="охрана озер"/>
      <sheetName val="налоги"/>
      <sheetName val="материалы- ВС,ВО"/>
      <sheetName val="ФОТ по тек. и капит. ремонту"/>
      <sheetName val="Неподконтрольные расходы В0"/>
      <sheetName val="Базовый уровень опер.расх.ВО"/>
      <sheetName val="Расчёт ВО методом индексаци "/>
      <sheetName val="опер. расх. всего_версия май"/>
      <sheetName val="индекс изменения активоа"/>
      <sheetName val="Экспертиза ВС"/>
      <sheetName val="анализ ФОТ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64">
          <cell r="J64">
            <v>7553.5507701500637</v>
          </cell>
          <cell r="K64">
            <v>15023.671320300129</v>
          </cell>
          <cell r="L64">
            <v>15762.784213813629</v>
          </cell>
          <cell r="M64">
            <v>16494.768785727618</v>
          </cell>
          <cell r="N64">
            <v>17167.731179493905</v>
          </cell>
          <cell r="O64">
            <v>9016.0431957204019</v>
          </cell>
        </row>
      </sheetData>
      <sheetData sheetId="7">
        <row r="191">
          <cell r="D191">
            <v>58245.100000000006</v>
          </cell>
          <cell r="E191">
            <v>114654.86963512802</v>
          </cell>
          <cell r="F191">
            <v>121574.42284090909</v>
          </cell>
          <cell r="G191">
            <v>124180.611084</v>
          </cell>
          <cell r="H191">
            <v>57211.78944</v>
          </cell>
          <cell r="I191">
            <v>119750.592</v>
          </cell>
          <cell r="J191">
            <v>114655.77275952</v>
          </cell>
          <cell r="K191">
            <v>117648.95978337935</v>
          </cell>
          <cell r="L191">
            <v>122707.86505406466</v>
          </cell>
          <cell r="M191">
            <v>114655.77275952</v>
          </cell>
          <cell r="N191">
            <v>0</v>
          </cell>
          <cell r="O191">
            <v>0</v>
          </cell>
        </row>
        <row r="193">
          <cell r="D193">
            <v>17590</v>
          </cell>
          <cell r="E193">
            <v>34625.770629808663</v>
          </cell>
          <cell r="F193">
            <v>36715.475697954542</v>
          </cell>
          <cell r="G193">
            <v>37502.544547368001</v>
          </cell>
          <cell r="H193">
            <v>17277.960410879998</v>
          </cell>
          <cell r="I193">
            <v>36164.678783999996</v>
          </cell>
          <cell r="J193">
            <v>34626.04337337504</v>
          </cell>
          <cell r="K193">
            <v>35529.985854580562</v>
          </cell>
          <cell r="L193">
            <v>37057.775246327532</v>
          </cell>
          <cell r="M193">
            <v>34626.04337337504</v>
          </cell>
          <cell r="N193">
            <v>0</v>
          </cell>
          <cell r="O193">
            <v>0</v>
          </cell>
        </row>
        <row r="265">
          <cell r="E265">
            <v>3658.4855999999995</v>
          </cell>
          <cell r="F265">
            <v>4041.9002400000004</v>
          </cell>
          <cell r="G265">
            <v>3956.8872000000001</v>
          </cell>
          <cell r="H265">
            <v>2011.52</v>
          </cell>
          <cell r="I265">
            <v>3978.38</v>
          </cell>
          <cell r="J265">
            <v>4137.3360000000002</v>
          </cell>
          <cell r="K265">
            <v>4315.2414479999998</v>
          </cell>
          <cell r="L265">
            <v>4500.7968302639993</v>
          </cell>
        </row>
        <row r="267">
          <cell r="E267">
            <v>1104.8626511999998</v>
          </cell>
          <cell r="F267">
            <v>1220.6538724800002</v>
          </cell>
          <cell r="H267">
            <v>607.47903999999994</v>
          </cell>
          <cell r="I267">
            <v>1201.4707599999999</v>
          </cell>
          <cell r="J267">
            <v>1249.4754720000001</v>
          </cell>
          <cell r="K267">
            <v>1303.2029172959999</v>
          </cell>
          <cell r="L267">
            <v>1359.2406427397277</v>
          </cell>
        </row>
      </sheetData>
      <sheetData sheetId="8"/>
      <sheetData sheetId="9"/>
      <sheetData sheetId="10"/>
      <sheetData sheetId="11">
        <row r="11">
          <cell r="O11">
            <v>880.67701</v>
          </cell>
          <cell r="P11">
            <v>1761.35402</v>
          </cell>
          <cell r="Q11">
            <v>1840.6149508999999</v>
          </cell>
          <cell r="R11">
            <v>0</v>
          </cell>
          <cell r="S11">
            <v>0</v>
          </cell>
          <cell r="AB11">
            <v>625.80908330600005</v>
          </cell>
        </row>
        <row r="12">
          <cell r="O12">
            <v>215.07177999999999</v>
          </cell>
          <cell r="P12">
            <v>430.14355999999998</v>
          </cell>
          <cell r="Q12">
            <v>449.50002019999994</v>
          </cell>
          <cell r="R12">
            <v>0</v>
          </cell>
          <cell r="S12">
            <v>0</v>
          </cell>
          <cell r="AB12">
            <v>152.830006868</v>
          </cell>
        </row>
        <row r="13">
          <cell r="O13">
            <v>0</v>
          </cell>
          <cell r="P13">
            <v>1475</v>
          </cell>
          <cell r="Q13">
            <v>1541.375</v>
          </cell>
          <cell r="R13">
            <v>0</v>
          </cell>
          <cell r="S13">
            <v>0</v>
          </cell>
          <cell r="AB13">
            <v>514.5390000000001</v>
          </cell>
        </row>
        <row r="14">
          <cell r="O14">
            <v>263.36713000000003</v>
          </cell>
          <cell r="P14">
            <v>526.73426000000006</v>
          </cell>
          <cell r="Q14">
            <v>550.43730170000003</v>
          </cell>
          <cell r="R14">
            <v>0</v>
          </cell>
          <cell r="S14">
            <v>0</v>
          </cell>
          <cell r="AB14">
            <v>187.14868257800003</v>
          </cell>
        </row>
        <row r="15">
          <cell r="S15">
            <v>0</v>
          </cell>
          <cell r="V15">
            <v>0</v>
          </cell>
          <cell r="Y15">
            <v>0</v>
          </cell>
          <cell r="AB15">
            <v>0</v>
          </cell>
        </row>
        <row r="16">
          <cell r="O16">
            <v>724.02088000000003</v>
          </cell>
          <cell r="P16">
            <v>1448.0417600000001</v>
          </cell>
          <cell r="S16">
            <v>0</v>
          </cell>
          <cell r="V16">
            <v>0</v>
          </cell>
          <cell r="Y16">
            <v>0</v>
          </cell>
          <cell r="AB16">
            <v>505.13488755840001</v>
          </cell>
        </row>
        <row r="18">
          <cell r="AB18">
            <v>442.00000000000006</v>
          </cell>
        </row>
        <row r="19">
          <cell r="AB19">
            <v>269.416</v>
          </cell>
        </row>
        <row r="22">
          <cell r="O22">
            <v>9034.8245000000006</v>
          </cell>
          <cell r="P22">
            <v>18884.917225000001</v>
          </cell>
          <cell r="S22">
            <v>20718.079800125</v>
          </cell>
          <cell r="V22">
            <v>21682.094705030373</v>
          </cell>
          <cell r="X22">
            <v>22614.424777346681</v>
          </cell>
          <cell r="AB22">
            <v>14463.7987077504</v>
          </cell>
        </row>
        <row r="40">
          <cell r="O40">
            <v>2728.5169989999999</v>
          </cell>
          <cell r="P40">
            <v>5703.2450019499993</v>
          </cell>
          <cell r="S40">
            <v>6256.8600996377509</v>
          </cell>
          <cell r="V40">
            <v>6547.9926009191722</v>
          </cell>
          <cell r="Y40">
            <v>6829.5562827586973</v>
          </cell>
        </row>
        <row r="43">
          <cell r="O43">
            <v>5.76</v>
          </cell>
          <cell r="P43">
            <v>11.52</v>
          </cell>
          <cell r="S43">
            <v>0</v>
          </cell>
          <cell r="V43">
            <v>0</v>
          </cell>
          <cell r="X43">
            <v>0</v>
          </cell>
          <cell r="AB43">
            <v>4.0930559999999998</v>
          </cell>
        </row>
        <row r="44">
          <cell r="O44">
            <v>336.33708000000001</v>
          </cell>
          <cell r="P44">
            <v>672.67416000000003</v>
          </cell>
          <cell r="S44">
            <v>0</v>
          </cell>
          <cell r="V44">
            <v>0</v>
          </cell>
          <cell r="X44">
            <v>0</v>
          </cell>
          <cell r="AB44">
            <v>184.18752000000003</v>
          </cell>
        </row>
        <row r="45">
          <cell r="O45">
            <v>607.92999999999995</v>
          </cell>
          <cell r="P45">
            <v>1215.8599999999999</v>
          </cell>
          <cell r="S45">
            <v>0</v>
          </cell>
          <cell r="V45">
            <v>0</v>
          </cell>
          <cell r="Y45">
            <v>0</v>
          </cell>
          <cell r="AB45">
            <v>192.69921600000001</v>
          </cell>
        </row>
        <row r="46">
          <cell r="O46">
            <v>49.803320000000006</v>
          </cell>
          <cell r="P46">
            <v>99.606640000000013</v>
          </cell>
          <cell r="S46">
            <v>0</v>
          </cell>
          <cell r="V46">
            <v>0</v>
          </cell>
          <cell r="Y46">
            <v>0</v>
          </cell>
          <cell r="AB46">
            <v>35.390239192000003</v>
          </cell>
        </row>
        <row r="47">
          <cell r="AB47">
            <v>1353.7234026530791</v>
          </cell>
        </row>
        <row r="48">
          <cell r="O48">
            <v>660.27949000000001</v>
          </cell>
          <cell r="P48">
            <v>1320.55898</v>
          </cell>
          <cell r="S48">
            <v>0</v>
          </cell>
          <cell r="V48">
            <v>0</v>
          </cell>
          <cell r="Y48">
            <v>0</v>
          </cell>
        </row>
        <row r="49">
          <cell r="O49">
            <v>351.00847000000005</v>
          </cell>
          <cell r="P49">
            <v>702.01694000000009</v>
          </cell>
          <cell r="S49">
            <v>0</v>
          </cell>
          <cell r="V49">
            <v>0</v>
          </cell>
          <cell r="Y49">
            <v>0</v>
          </cell>
        </row>
        <row r="53">
          <cell r="O53">
            <v>6624.68</v>
          </cell>
          <cell r="P53">
            <v>13249.36</v>
          </cell>
          <cell r="S53">
            <v>0</v>
          </cell>
          <cell r="V53">
            <v>0</v>
          </cell>
          <cell r="Y53">
            <v>0</v>
          </cell>
          <cell r="AB53">
            <v>4707.4972000000007</v>
          </cell>
        </row>
      </sheetData>
      <sheetData sheetId="12">
        <row r="25">
          <cell r="J25">
            <v>0</v>
          </cell>
          <cell r="K25">
            <v>0</v>
          </cell>
        </row>
      </sheetData>
      <sheetData sheetId="13"/>
      <sheetData sheetId="14"/>
      <sheetData sheetId="15"/>
      <sheetData sheetId="16"/>
      <sheetData sheetId="17"/>
      <sheetData sheetId="18">
        <row r="32">
          <cell r="D32">
            <v>300.38600000000002</v>
          </cell>
          <cell r="E32">
            <v>201.41520000000003</v>
          </cell>
          <cell r="F32">
            <v>269.23088639999997</v>
          </cell>
          <cell r="G32">
            <v>187.6224</v>
          </cell>
          <cell r="H32">
            <v>107.08320000000001</v>
          </cell>
          <cell r="I32">
            <v>232.61280000000002</v>
          </cell>
          <cell r="J32">
            <v>258.49454400000002</v>
          </cell>
          <cell r="K32">
            <v>269.60980939200005</v>
          </cell>
          <cell r="L32">
            <v>282.90277720099999</v>
          </cell>
        </row>
        <row r="46">
          <cell r="D46">
            <v>5052.7230490000011</v>
          </cell>
          <cell r="E46">
            <v>5196.7401605920886</v>
          </cell>
          <cell r="F46">
            <v>5203.360887402132</v>
          </cell>
          <cell r="G46">
            <v>5465.2921246259993</v>
          </cell>
          <cell r="H46">
            <v>3145.1639770405436</v>
          </cell>
          <cell r="I46">
            <v>6353.2312336218984</v>
          </cell>
          <cell r="J46">
            <v>5711.2302702341694</v>
          </cell>
          <cell r="K46">
            <v>5956.8131718542381</v>
          </cell>
          <cell r="L46">
            <v>6212.9561382439706</v>
          </cell>
        </row>
        <row r="57">
          <cell r="D57">
            <v>2517.4899999999998</v>
          </cell>
          <cell r="E57">
            <v>3546.1425731519994</v>
          </cell>
          <cell r="G57">
            <v>3652.5268503465595</v>
          </cell>
        </row>
        <row r="62">
          <cell r="F62">
            <v>4040.4162143674002</v>
          </cell>
        </row>
        <row r="63">
          <cell r="H63">
            <v>6013.0073678405433</v>
          </cell>
          <cell r="I63">
            <v>11906.465165221896</v>
          </cell>
          <cell r="J63">
            <v>11529.707016756169</v>
          </cell>
          <cell r="K63">
            <v>12025.484418476683</v>
          </cell>
          <cell r="L63">
            <v>12544.279994476325</v>
          </cell>
        </row>
        <row r="119">
          <cell r="H119">
            <v>12039.8</v>
          </cell>
          <cell r="I119">
            <v>26094.1</v>
          </cell>
          <cell r="J119">
            <v>27974.404999999999</v>
          </cell>
          <cell r="K119">
            <v>29457.047999999999</v>
          </cell>
          <cell r="L119">
            <v>31028.27</v>
          </cell>
          <cell r="M119">
            <v>24559.579336105988</v>
          </cell>
          <cell r="N119">
            <v>26180.511572288982</v>
          </cell>
          <cell r="O119">
            <v>27934.605847632338</v>
          </cell>
        </row>
        <row r="168">
          <cell r="F168">
            <v>22882.459800547746</v>
          </cell>
        </row>
        <row r="173">
          <cell r="D173">
            <v>19458.548000000003</v>
          </cell>
          <cell r="E173">
            <v>20358.698700000001</v>
          </cell>
          <cell r="G173">
            <v>21048.319950000001</v>
          </cell>
        </row>
        <row r="196">
          <cell r="D196">
            <v>2885.0891940000001</v>
          </cell>
          <cell r="E196">
            <v>1409.3519550000001</v>
          </cell>
          <cell r="F196">
            <v>1815.6193880000003</v>
          </cell>
          <cell r="G196">
            <v>1587.7639999999999</v>
          </cell>
          <cell r="H196">
            <v>1046.3900000000001</v>
          </cell>
          <cell r="I196">
            <v>1705.8299999999997</v>
          </cell>
          <cell r="J196">
            <v>1779.77</v>
          </cell>
          <cell r="K196">
            <v>1856.3400751565762</v>
          </cell>
          <cell r="L196">
            <v>1936.1226983883089</v>
          </cell>
          <cell r="M196">
            <v>1853.4306249999997</v>
          </cell>
          <cell r="N196">
            <v>1909.03354375</v>
          </cell>
          <cell r="O196">
            <v>1966.3045500624999</v>
          </cell>
        </row>
        <row r="238">
          <cell r="D238">
            <v>727.63925489999997</v>
          </cell>
          <cell r="E238">
            <v>173.491952</v>
          </cell>
          <cell r="F238">
            <v>554.00929214613507</v>
          </cell>
          <cell r="G238">
            <v>675.1235999999999</v>
          </cell>
          <cell r="H238">
            <v>542.21104032000005</v>
          </cell>
          <cell r="I238">
            <v>1084.4220806400001</v>
          </cell>
          <cell r="J238">
            <v>1157.2784026082397</v>
          </cell>
          <cell r="K238">
            <v>1207.0413739203941</v>
          </cell>
          <cell r="L238">
            <v>1258.9441529989713</v>
          </cell>
          <cell r="M238">
            <v>525.21953887987195</v>
          </cell>
          <cell r="N238">
            <v>562.33353594258324</v>
          </cell>
          <cell r="O238">
            <v>594.48754541103983</v>
          </cell>
        </row>
        <row r="293">
          <cell r="H293">
            <v>548.04178999999999</v>
          </cell>
          <cell r="I293">
            <v>1277.0371400000001</v>
          </cell>
          <cell r="J293">
            <v>1324.1685731999999</v>
          </cell>
          <cell r="K293">
            <v>1344.7450520549498</v>
          </cell>
          <cell r="L293">
            <v>1366.7454023058515</v>
          </cell>
        </row>
        <row r="294">
          <cell r="I294">
            <v>50000</v>
          </cell>
          <cell r="K294">
            <v>0</v>
          </cell>
          <cell r="L294">
            <v>0</v>
          </cell>
        </row>
        <row r="296">
          <cell r="F296">
            <v>58804.290899999993</v>
          </cell>
          <cell r="G296">
            <v>52160.806530000002</v>
          </cell>
          <cell r="J296">
            <v>151794.69949534995</v>
          </cell>
          <cell r="P296">
            <v>0</v>
          </cell>
        </row>
        <row r="311">
          <cell r="D311">
            <v>4756.0175440640005</v>
          </cell>
          <cell r="G311">
            <v>13109.711537338982</v>
          </cell>
          <cell r="H311">
            <v>5417.9869123729995</v>
          </cell>
          <cell r="I311">
            <v>9884.824734877162</v>
          </cell>
          <cell r="J311">
            <v>17046.227650000001</v>
          </cell>
          <cell r="K311">
            <v>7702.916512499999</v>
          </cell>
          <cell r="L311">
            <v>3851.4582562499995</v>
          </cell>
          <cell r="P311">
            <v>0</v>
          </cell>
        </row>
        <row r="321">
          <cell r="D321">
            <v>2100</v>
          </cell>
          <cell r="F321">
            <v>3104</v>
          </cell>
          <cell r="G321">
            <v>6765.3193600000004</v>
          </cell>
          <cell r="P321" t="str">
            <v>в амортизации</v>
          </cell>
        </row>
        <row r="325">
          <cell r="D325">
            <v>1360</v>
          </cell>
          <cell r="E325">
            <v>2291.2130326193937</v>
          </cell>
          <cell r="F325">
            <v>1001</v>
          </cell>
          <cell r="G325">
            <v>2291.2130326193937</v>
          </cell>
          <cell r="H325">
            <v>730.68573120000008</v>
          </cell>
          <cell r="I325">
            <v>1461.3714624000002</v>
          </cell>
          <cell r="J325">
            <v>2392.0264060546469</v>
          </cell>
          <cell r="K325">
            <v>2494.8835415149965</v>
          </cell>
          <cell r="L325">
            <v>2594.6788831755966</v>
          </cell>
        </row>
        <row r="326">
          <cell r="E326">
            <v>0</v>
          </cell>
          <cell r="O326">
            <v>0</v>
          </cell>
          <cell r="P326">
            <v>0</v>
          </cell>
        </row>
        <row r="343">
          <cell r="D343">
            <v>8359.7999999999993</v>
          </cell>
          <cell r="E343">
            <v>6490.6</v>
          </cell>
          <cell r="F343">
            <v>8632.2999999999993</v>
          </cell>
          <cell r="G343">
            <v>8947.9</v>
          </cell>
          <cell r="H343">
            <v>3863.4332639999993</v>
          </cell>
          <cell r="I343">
            <v>8497</v>
          </cell>
          <cell r="J343">
            <v>10862.6</v>
          </cell>
          <cell r="K343">
            <v>11329.69</v>
          </cell>
          <cell r="L343">
            <v>11816.86</v>
          </cell>
          <cell r="P343">
            <v>0</v>
          </cell>
        </row>
        <row r="351">
          <cell r="D351">
            <v>49684.4</v>
          </cell>
          <cell r="E351">
            <v>7893.1359999999986</v>
          </cell>
          <cell r="F351">
            <v>10011.700000000001</v>
          </cell>
          <cell r="G351">
            <v>13841.9</v>
          </cell>
          <cell r="H351">
            <v>10933.263360000001</v>
          </cell>
          <cell r="I351">
            <v>13841.9</v>
          </cell>
          <cell r="J351">
            <v>24359.378000000001</v>
          </cell>
          <cell r="K351">
            <v>10312.923000000001</v>
          </cell>
          <cell r="P351" t="str">
            <v xml:space="preserve"> за счёт амортизации</v>
          </cell>
        </row>
        <row r="359">
          <cell r="O359">
            <v>0</v>
          </cell>
          <cell r="P359">
            <v>0</v>
          </cell>
        </row>
        <row r="360">
          <cell r="G360">
            <v>1194.9799344</v>
          </cell>
          <cell r="P360">
            <v>0</v>
          </cell>
        </row>
        <row r="413">
          <cell r="E413">
            <v>4603.3630000000003</v>
          </cell>
          <cell r="G413">
            <v>7143.7919499999998</v>
          </cell>
          <cell r="H413">
            <v>2105.86</v>
          </cell>
          <cell r="I413">
            <v>4232.7785999999996</v>
          </cell>
          <cell r="J413">
            <v>4333.9692899999991</v>
          </cell>
          <cell r="K413">
            <v>6919.3454399999991</v>
          </cell>
          <cell r="L413">
            <v>29121.632399999999</v>
          </cell>
        </row>
        <row r="414">
          <cell r="E414">
            <v>27205.152999999998</v>
          </cell>
          <cell r="G414">
            <v>48225.869159999995</v>
          </cell>
          <cell r="H414">
            <v>10958.62</v>
          </cell>
          <cell r="I414">
            <v>22026.826200000003</v>
          </cell>
          <cell r="J414">
            <v>34379.128304999998</v>
          </cell>
          <cell r="K414">
            <v>60458.280564999994</v>
          </cell>
          <cell r="L414">
            <v>87572.98076999998</v>
          </cell>
        </row>
        <row r="415">
          <cell r="E415">
            <v>1975.489</v>
          </cell>
          <cell r="G415">
            <v>4904.0620699999999</v>
          </cell>
          <cell r="H415">
            <v>2463.09</v>
          </cell>
          <cell r="I415">
            <v>4950.8109000000004</v>
          </cell>
          <cell r="J415">
            <v>2413.7662499999997</v>
          </cell>
          <cell r="K415">
            <v>2437.9030199999997</v>
          </cell>
          <cell r="L415">
            <v>2462.2825499999999</v>
          </cell>
        </row>
        <row r="416">
          <cell r="E416">
            <v>3763.8710000000001</v>
          </cell>
          <cell r="H416">
            <v>5483.97</v>
          </cell>
          <cell r="I416">
            <v>9322.7489999999998</v>
          </cell>
          <cell r="J416">
            <v>5313.4737599999999</v>
          </cell>
          <cell r="K416">
            <v>5366.6060699999998</v>
          </cell>
          <cell r="L416">
            <v>5420.2738799999997</v>
          </cell>
        </row>
        <row r="417">
          <cell r="G417">
            <v>66.646869999999993</v>
          </cell>
        </row>
        <row r="436">
          <cell r="E436">
            <v>0</v>
          </cell>
        </row>
        <row r="437">
          <cell r="D437">
            <v>0</v>
          </cell>
          <cell r="E437">
            <v>0</v>
          </cell>
          <cell r="F437">
            <v>0</v>
          </cell>
          <cell r="G437">
            <v>0</v>
          </cell>
        </row>
        <row r="460">
          <cell r="D460">
            <v>10000</v>
          </cell>
          <cell r="F460">
            <v>10000</v>
          </cell>
          <cell r="G460">
            <v>9752.1875639999998</v>
          </cell>
          <cell r="H460">
            <v>4381.9133759999995</v>
          </cell>
          <cell r="I460">
            <v>15721.854557666666</v>
          </cell>
          <cell r="J460">
            <v>45072.691396975999</v>
          </cell>
          <cell r="K460">
            <v>45552.499025124802</v>
          </cell>
          <cell r="L460">
            <v>46056.29703468104</v>
          </cell>
        </row>
        <row r="461">
          <cell r="D461">
            <v>417.88</v>
          </cell>
          <cell r="F461">
            <v>1475.41</v>
          </cell>
          <cell r="G461">
            <v>0</v>
          </cell>
          <cell r="H461">
            <v>0</v>
          </cell>
          <cell r="I461">
            <v>0</v>
          </cell>
          <cell r="L461">
            <v>0</v>
          </cell>
          <cell r="M461">
            <v>0</v>
          </cell>
          <cell r="N461">
            <v>0</v>
          </cell>
        </row>
        <row r="462">
          <cell r="D462">
            <v>2310.1759999999999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</row>
        <row r="465">
          <cell r="D465">
            <v>1893.318912</v>
          </cell>
          <cell r="F465">
            <v>5326</v>
          </cell>
          <cell r="G465">
            <v>3977.5001999999995</v>
          </cell>
          <cell r="H465">
            <v>3151.2009599999997</v>
          </cell>
          <cell r="I465">
            <v>6302.4019199999993</v>
          </cell>
          <cell r="J465">
            <v>6365.4259391999994</v>
          </cell>
          <cell r="K465">
            <v>6429.0801985919998</v>
          </cell>
          <cell r="L465">
            <v>6493.3710005779203</v>
          </cell>
        </row>
        <row r="466">
          <cell r="D466">
            <v>188.16</v>
          </cell>
          <cell r="F466">
            <v>217</v>
          </cell>
          <cell r="G466">
            <v>284.56049999999999</v>
          </cell>
          <cell r="H466">
            <v>155.98643519999999</v>
          </cell>
          <cell r="I466">
            <v>311.97287039999998</v>
          </cell>
          <cell r="J466">
            <v>315.09259910399999</v>
          </cell>
          <cell r="K466">
            <v>318.24352509504001</v>
          </cell>
          <cell r="L466">
            <v>321.42596034599035</v>
          </cell>
        </row>
        <row r="467">
          <cell r="E467">
            <v>271.01</v>
          </cell>
        </row>
        <row r="471">
          <cell r="D471">
            <v>0</v>
          </cell>
          <cell r="E471">
            <v>0</v>
          </cell>
          <cell r="G471">
            <v>0</v>
          </cell>
          <cell r="L471">
            <v>0</v>
          </cell>
          <cell r="M471">
            <v>0</v>
          </cell>
          <cell r="N471">
            <v>0</v>
          </cell>
        </row>
        <row r="497">
          <cell r="G497">
            <v>3307.2536199999995</v>
          </cell>
          <cell r="J497">
            <v>3449.4655256599995</v>
          </cell>
          <cell r="K497">
            <v>3597.7925432633792</v>
          </cell>
          <cell r="L497">
            <v>3597.7925432633792</v>
          </cell>
          <cell r="M497">
            <v>3449.4655256599995</v>
          </cell>
          <cell r="N497">
            <v>3597.7925432633792</v>
          </cell>
          <cell r="O497">
            <v>3597.7925432633792</v>
          </cell>
          <cell r="P497">
            <v>0</v>
          </cell>
        </row>
      </sheetData>
      <sheetData sheetId="19">
        <row r="10">
          <cell r="B10">
            <v>157000.92379424002</v>
          </cell>
        </row>
      </sheetData>
      <sheetData sheetId="20"/>
      <sheetData sheetId="21"/>
      <sheetData sheetId="22"/>
      <sheetData sheetId="23">
        <row r="13">
          <cell r="G13">
            <v>3164836</v>
          </cell>
          <cell r="H13">
            <v>3307253.6199999996</v>
          </cell>
        </row>
      </sheetData>
      <sheetData sheetId="24">
        <row r="106">
          <cell r="C106">
            <v>4581.8544556098004</v>
          </cell>
        </row>
      </sheetData>
      <sheetData sheetId="25"/>
      <sheetData sheetId="26">
        <row r="112">
          <cell r="C112">
            <v>9287.7976799999997</v>
          </cell>
        </row>
        <row r="120">
          <cell r="C120">
            <v>3977.5001999999995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ределение"/>
      <sheetName val="опер. расходы всего"/>
      <sheetName val="Лист3"/>
    </sheetNames>
    <sheetDataSet>
      <sheetData sheetId="0">
        <row r="30">
          <cell r="D30">
            <v>0.51469646295027305</v>
          </cell>
          <cell r="E30">
            <v>0.12574430740305681</v>
          </cell>
        </row>
        <row r="31">
          <cell r="D31">
            <v>0.21458890014153373</v>
          </cell>
          <cell r="E31">
            <v>2.5515125068804771E-2</v>
          </cell>
        </row>
        <row r="32">
          <cell r="D32">
            <v>0.51469646295027294</v>
          </cell>
          <cell r="E32">
            <v>0.18284485671877235</v>
          </cell>
        </row>
      </sheetData>
      <sheetData sheetId="1">
        <row r="22">
          <cell r="B22">
            <v>0.31037228677657347</v>
          </cell>
        </row>
        <row r="38">
          <cell r="B38">
            <v>0.31001202851726023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тариф  канал"/>
      <sheetName val=" тариф  вода"/>
      <sheetName val="затраты по статьям"/>
      <sheetName val="кальк вода "/>
      <sheetName val="кальк вода  ЧК"/>
      <sheetName val="калькул  стоки"/>
      <sheetName val="калькул стоки Чкал ЛОС.КНС"/>
      <sheetName val="Пр_прогр_вода__1"/>
      <sheetName val="пр_ прогр_канал_ _ 2"/>
      <sheetName val="электр _5"/>
      <sheetName val="Реагенты _6 "/>
      <sheetName val="Амортиз__7"/>
      <sheetName val="Амортиз доп"/>
      <sheetName val="В-К"/>
      <sheetName val="Ремонт__8 _тек _рем_"/>
      <sheetName val="_план _стад пр_ва 2009"/>
      <sheetName val="Ремонт__8 _кап_рем_"/>
      <sheetName val="проект плана-2009"/>
      <sheetName val="опл труда 9"/>
      <sheetName val="опл труда 9 ЧК"/>
      <sheetName val=" прямые"/>
      <sheetName val="Покуп вода _11"/>
      <sheetName val="Перед и покуп сточ вод__11 "/>
      <sheetName val="Проч прям__жэу_ симп_ сберк _12"/>
      <sheetName val="Цехов__10"/>
      <sheetName val="Цехов_доп"/>
      <sheetName val="цех"/>
      <sheetName val="Общеэкспл__13"/>
      <sheetName val=" общеэксплуат"/>
      <sheetName val="свод Налоги"/>
      <sheetName val="Налоги_выплаты из приб_14"/>
      <sheetName val="Налоги_выплаты из приб_принят"/>
      <sheetName val="Прил__15"/>
      <sheetName val="распределе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тариф  канал"/>
      <sheetName val=" тариф  вода"/>
      <sheetName val="затраты по статьям"/>
      <sheetName val="кальк вода "/>
      <sheetName val="кальк вода  ЧК"/>
      <sheetName val="калькул  стоки"/>
      <sheetName val="калькул стоки Чкал ЛОС.КНС"/>
      <sheetName val="Пр_прогр_вода__1"/>
      <sheetName val="пр_ прогр_канал_ _ 2"/>
      <sheetName val="электр _5"/>
      <sheetName val="Реагенты _6 "/>
      <sheetName val="Амортиз__7"/>
      <sheetName val="Амортиз доп"/>
      <sheetName val="В-К"/>
      <sheetName val="Ремонт__8 _тек _рем_"/>
      <sheetName val="_план _стад пр_ва 2009"/>
      <sheetName val="Ремонт__8 _кап_рем_"/>
      <sheetName val="проект плана-2009"/>
      <sheetName val="опл труда 9"/>
      <sheetName val="опл труда 9 ЧК"/>
      <sheetName val=" прямые"/>
      <sheetName val="Покуп вода _11"/>
      <sheetName val="Перед и покуп сточ вод__11 "/>
      <sheetName val="Проч прям__жэу_ симп_ сберк _12"/>
      <sheetName val="Цехов__10"/>
      <sheetName val="Цехов_доп"/>
      <sheetName val="цех"/>
      <sheetName val="Общеэкспл__13"/>
      <sheetName val=" общеэксплуат"/>
      <sheetName val="свод Налоги"/>
      <sheetName val="Налоги_выплаты из приб_14"/>
      <sheetName val="Налоги_выплаты из приб_принят"/>
      <sheetName val="Прил__15"/>
      <sheetName val="распределе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тариф  канал"/>
      <sheetName val=" тариф  вода"/>
      <sheetName val="затраты по статьям"/>
      <sheetName val="кальк вода "/>
      <sheetName val="кальк вода  ЧК"/>
      <sheetName val="калькул  стоки"/>
      <sheetName val="калькул стоки Чкал ЛОС.КНС"/>
      <sheetName val="Пр_прогр_вода__1"/>
      <sheetName val="пр_ прогр_канал_ _ 2"/>
      <sheetName val="электр _5"/>
      <sheetName val="Реагенты _6 "/>
      <sheetName val="Амортиз__7"/>
      <sheetName val="Амортиз доп"/>
      <sheetName val="В-К"/>
      <sheetName val="Ремонт__8 _тек _рем_"/>
      <sheetName val="_план _стад пр_ва 2009"/>
      <sheetName val="Ремонт__8 _кап_рем_"/>
      <sheetName val="проект плана-2009"/>
      <sheetName val="опл труда 9"/>
      <sheetName val="опл труда 9 ЧК"/>
      <sheetName val=" прямые"/>
      <sheetName val="Покуп вода _11"/>
      <sheetName val="Перед и покуп сточ вод__11 "/>
      <sheetName val="Проч прям__жэу_ симп_ сберк _12"/>
      <sheetName val="Цехов__10"/>
      <sheetName val="Цехов_доп"/>
      <sheetName val="цех"/>
      <sheetName val="Общеэкспл__13"/>
      <sheetName val=" общеэксплуат"/>
      <sheetName val="свод Налоги"/>
      <sheetName val="Налоги_выплаты из приб_14"/>
      <sheetName val="Налоги_выплаты из приб_принят"/>
      <sheetName val="Прил__15"/>
      <sheetName val="распределение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тариф  канал"/>
      <sheetName val=" тариф  вода"/>
      <sheetName val="затраты по статьям"/>
      <sheetName val="кальк вода "/>
      <sheetName val="кальк вода  ЧК"/>
      <sheetName val="калькул  стоки"/>
      <sheetName val="калькул стоки Чкал ЛОС.КНС"/>
      <sheetName val="Пр_прогр_вода__1"/>
      <sheetName val="пр_ прогр_канал_ _ 2"/>
      <sheetName val="электр _5"/>
      <sheetName val="Реагенты _6 "/>
      <sheetName val="Амортиз__7"/>
      <sheetName val="Амортиз доп"/>
      <sheetName val="В-К"/>
      <sheetName val="Ремонт__8 _тек _рем_"/>
      <sheetName val="_план _стад пр_ва 2009"/>
      <sheetName val="Ремонт__8 _кап_рем_"/>
      <sheetName val="проект плана-2009"/>
      <sheetName val="опл труда 9"/>
      <sheetName val="опл труда 9 ЧК"/>
      <sheetName val=" прямые"/>
      <sheetName val="Покуп вода _11"/>
      <sheetName val="Перед и покуп сточ вод__11 "/>
      <sheetName val="Проч прям__жэу_ симп_ сберк _12"/>
      <sheetName val="Цехов__10"/>
      <sheetName val="Цехов_доп"/>
      <sheetName val="цех"/>
      <sheetName val="Общеэкспл__13"/>
      <sheetName val=" общеэксплуат"/>
      <sheetName val="свод Налоги"/>
      <sheetName val="Налоги_выплаты из приб_14"/>
      <sheetName val="Налоги_выплаты из приб_принят"/>
      <sheetName val="Прил__15"/>
      <sheetName val="распределение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ВС_2016"/>
      <sheetName val="Экспертиза ВС"/>
      <sheetName val="расшифровки ВС_2016"/>
      <sheetName val="Цеховые расходы"/>
      <sheetName val="Зар.плата осн.персонала"/>
      <sheetName val="Баланс ВС_2016"/>
      <sheetName val="Админ. расх."/>
      <sheetName val="Кап.вложения"/>
      <sheetName val="ИПЦ"/>
      <sheetName val="Баланс ВО 2016"/>
      <sheetName val="Смета ВО_2016"/>
      <sheetName val="Экспертиза ВО"/>
      <sheetName val="расшифровки ВО_2016"/>
      <sheetName val="эксплуат. затр. по очистным"/>
      <sheetName val="сбытовые расходы"/>
      <sheetName val="расшифровка кредитов"/>
      <sheetName val="охрана озер"/>
      <sheetName val="налоги"/>
      <sheetName val="материалы- ВС,ВО"/>
      <sheetName val="Неподконтрольные расходы ВС"/>
      <sheetName val="Базовый уровень опер.расх.ВС "/>
      <sheetName val="Расчёт ВС методом индексации"/>
      <sheetName val="Неподконтрольные расходы В0"/>
      <sheetName val="Базовый уровень опер.расх.ВО"/>
      <sheetName val="Расчёт ВО методом индексаци "/>
      <sheetName val="Лист1"/>
    </sheetNames>
    <sheetDataSet>
      <sheetData sheetId="0">
        <row r="16">
          <cell r="D16">
            <v>87032.799999999988</v>
          </cell>
          <cell r="E16">
            <v>85452.684260000009</v>
          </cell>
          <cell r="F16">
            <v>99221.139540000004</v>
          </cell>
          <cell r="G16">
            <v>85402.459593000007</v>
          </cell>
        </row>
        <row r="17">
          <cell r="D17">
            <v>3586.36</v>
          </cell>
          <cell r="E17">
            <v>5039.5480114000002</v>
          </cell>
          <cell r="F17">
            <v>2715.3230250000001</v>
          </cell>
          <cell r="G17">
            <v>4381.1189226000006</v>
          </cell>
        </row>
        <row r="19">
          <cell r="D19">
            <v>1091.46</v>
          </cell>
          <cell r="E19">
            <v>765.9913415499999</v>
          </cell>
          <cell r="F19">
            <v>987.50872519999996</v>
          </cell>
          <cell r="G19">
            <v>1459.1224141649998</v>
          </cell>
        </row>
        <row r="20">
          <cell r="D20">
            <v>13685.8</v>
          </cell>
          <cell r="E20">
            <v>12194.269200000001</v>
          </cell>
          <cell r="F20">
            <v>13353.590700000001</v>
          </cell>
          <cell r="G20">
            <v>13105.715549999999</v>
          </cell>
        </row>
        <row r="21">
          <cell r="D21">
            <v>0</v>
          </cell>
          <cell r="E21">
            <v>0</v>
          </cell>
          <cell r="F21">
            <v>8426.7199999999993</v>
          </cell>
          <cell r="G21">
            <v>0</v>
          </cell>
          <cell r="H21">
            <v>-8426.7199999999993</v>
          </cell>
          <cell r="I21">
            <v>0</v>
          </cell>
          <cell r="J21">
            <v>0</v>
          </cell>
        </row>
        <row r="23">
          <cell r="D23">
            <v>99078.6</v>
          </cell>
          <cell r="E23">
            <v>161397.15701400003</v>
          </cell>
          <cell r="F23">
            <v>166992.19523449324</v>
          </cell>
          <cell r="G23">
            <v>178698.94954560001</v>
          </cell>
        </row>
        <row r="24">
          <cell r="D24">
            <v>29921.7</v>
          </cell>
          <cell r="E24">
            <v>48741.941418228009</v>
          </cell>
          <cell r="F24">
            <v>50431.642960816956</v>
          </cell>
          <cell r="G24">
            <v>53967.082762771199</v>
          </cell>
        </row>
        <row r="25">
          <cell r="D25">
            <v>7134.3047967231996</v>
          </cell>
          <cell r="E25">
            <v>6593.4003141701987</v>
          </cell>
          <cell r="F25">
            <v>15270.548474879999</v>
          </cell>
          <cell r="G25">
            <v>18865.194651292681</v>
          </cell>
        </row>
        <row r="26">
          <cell r="D26">
            <v>5460.9500000000044</v>
          </cell>
          <cell r="E26">
            <v>23785.77847392848</v>
          </cell>
          <cell r="F26">
            <v>50533</v>
          </cell>
          <cell r="G26">
            <v>24853.094644776127</v>
          </cell>
        </row>
        <row r="29">
          <cell r="D29">
            <v>2300</v>
          </cell>
          <cell r="E29">
            <v>2400</v>
          </cell>
          <cell r="G29">
            <v>9840.1203143999992</v>
          </cell>
        </row>
        <row r="30">
          <cell r="D30">
            <v>1000</v>
          </cell>
          <cell r="E30">
            <v>3297.1114371840054</v>
          </cell>
          <cell r="F30">
            <v>1583.56</v>
          </cell>
          <cell r="G30">
            <v>2805</v>
          </cell>
        </row>
        <row r="32">
          <cell r="D32">
            <v>98104.386206896539</v>
          </cell>
          <cell r="E32">
            <v>56556.105212640003</v>
          </cell>
          <cell r="F32">
            <v>23682.772358400001</v>
          </cell>
        </row>
        <row r="38">
          <cell r="D38">
            <v>28033.65</v>
          </cell>
          <cell r="E38">
            <v>60451.958204667993</v>
          </cell>
          <cell r="F38">
            <v>42546.91</v>
          </cell>
        </row>
        <row r="59">
          <cell r="D59">
            <v>0</v>
          </cell>
          <cell r="E59">
            <v>7824.9219999999996</v>
          </cell>
          <cell r="F59">
            <v>7440.5519999999997</v>
          </cell>
          <cell r="G59">
            <v>8177.0434899999991</v>
          </cell>
        </row>
        <row r="69">
          <cell r="D69">
            <v>10000</v>
          </cell>
          <cell r="E69">
            <v>10393.487879999999</v>
          </cell>
          <cell r="F69">
            <v>12436</v>
          </cell>
          <cell r="G69">
            <v>10913.162274</v>
          </cell>
        </row>
        <row r="70">
          <cell r="D70">
            <v>2100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2700</v>
          </cell>
          <cell r="E72">
            <v>5723.7197999999989</v>
          </cell>
          <cell r="F72">
            <v>702</v>
          </cell>
          <cell r="G72">
            <v>5723.7197999999989</v>
          </cell>
        </row>
        <row r="73">
          <cell r="D73">
            <v>282.39999999999998</v>
          </cell>
          <cell r="E73">
            <v>389.98999999999995</v>
          </cell>
          <cell r="F73">
            <v>309</v>
          </cell>
          <cell r="G73">
            <v>409.48950000000002</v>
          </cell>
        </row>
        <row r="82">
          <cell r="E82">
            <v>4631.7</v>
          </cell>
          <cell r="F82">
            <v>4223.6000000000004</v>
          </cell>
          <cell r="G82">
            <v>4425.0439547719852</v>
          </cell>
        </row>
        <row r="85">
          <cell r="D85">
            <v>2670</v>
          </cell>
          <cell r="E85">
            <v>2351.2089999999998</v>
          </cell>
          <cell r="F85">
            <v>2518</v>
          </cell>
          <cell r="G85">
            <v>2351.2089999999998</v>
          </cell>
        </row>
        <row r="101">
          <cell r="D101">
            <v>42669.17</v>
          </cell>
          <cell r="E101">
            <v>35819.502</v>
          </cell>
          <cell r="F101">
            <v>40569.167999999998</v>
          </cell>
          <cell r="G101">
            <v>34884.449999999997</v>
          </cell>
        </row>
      </sheetData>
      <sheetData sheetId="1"/>
      <sheetData sheetId="2">
        <row r="92">
          <cell r="D92">
            <v>89554.618036984437</v>
          </cell>
          <cell r="E92">
            <v>88830.586908536119</v>
          </cell>
          <cell r="F92">
            <v>88365.02600241972</v>
          </cell>
          <cell r="G92">
            <v>101649.7911192422</v>
          </cell>
        </row>
        <row r="378">
          <cell r="D378">
            <v>31261.3</v>
          </cell>
          <cell r="E378">
            <v>3870.7</v>
          </cell>
          <cell r="F378">
            <v>28851.3</v>
          </cell>
          <cell r="G378">
            <v>5859.8469287999997</v>
          </cell>
        </row>
        <row r="379">
          <cell r="E379">
            <v>21926.545999999998</v>
          </cell>
          <cell r="G379">
            <v>32284.439683199995</v>
          </cell>
        </row>
        <row r="380">
          <cell r="D380">
            <v>2879.4</v>
          </cell>
          <cell r="E380">
            <v>2778.7700000000004</v>
          </cell>
          <cell r="F380">
            <v>2879.4</v>
          </cell>
          <cell r="G380">
            <v>7131.3231491999995</v>
          </cell>
        </row>
      </sheetData>
      <sheetData sheetId="3"/>
      <sheetData sheetId="4">
        <row r="191">
          <cell r="D191">
            <v>58245.100000000006</v>
          </cell>
          <cell r="E191">
            <v>114654.86963512802</v>
          </cell>
          <cell r="F191">
            <v>121574.42284090909</v>
          </cell>
          <cell r="G191">
            <v>124180.611084</v>
          </cell>
        </row>
        <row r="193">
          <cell r="D193">
            <v>17590</v>
          </cell>
          <cell r="E193">
            <v>34625.770629808663</v>
          </cell>
          <cell r="F193">
            <v>36715.475697954542</v>
          </cell>
          <cell r="G193">
            <v>37502.544547368001</v>
          </cell>
        </row>
      </sheetData>
      <sheetData sheetId="5"/>
      <sheetData sheetId="6"/>
      <sheetData sheetId="7"/>
      <sheetData sheetId="8"/>
      <sheetData sheetId="9"/>
      <sheetData sheetId="10">
        <row r="17">
          <cell r="D17">
            <v>2885.0891940000001</v>
          </cell>
          <cell r="E17">
            <v>1409.3519550000001</v>
          </cell>
          <cell r="F17">
            <v>1815.6193880000003</v>
          </cell>
          <cell r="G17">
            <v>1587.7639999999999</v>
          </cell>
          <cell r="H17">
            <v>1651.1969516000004</v>
          </cell>
          <cell r="I17">
            <v>1722.2382205188001</v>
          </cell>
          <cell r="J17">
            <v>1796.3299640011082</v>
          </cell>
        </row>
        <row r="27">
          <cell r="D27">
            <v>45925.14</v>
          </cell>
          <cell r="E27">
            <v>14441.365502028006</v>
          </cell>
          <cell r="F27">
            <v>30517.43</v>
          </cell>
          <cell r="G27">
            <v>15008.973675353258</v>
          </cell>
        </row>
        <row r="40">
          <cell r="D40">
            <v>18770.431499999999</v>
          </cell>
          <cell r="E40">
            <v>28174.496780135996</v>
          </cell>
          <cell r="F40">
            <v>26059.64</v>
          </cell>
          <cell r="G40">
            <v>31336.760058348118</v>
          </cell>
        </row>
        <row r="84">
          <cell r="D84">
            <v>16980.5</v>
          </cell>
          <cell r="E84">
            <v>1633.8909999999998</v>
          </cell>
          <cell r="F84">
            <v>1824.06</v>
          </cell>
        </row>
        <row r="100">
          <cell r="D100">
            <v>48843.7</v>
          </cell>
          <cell r="E100">
            <v>43904.82</v>
          </cell>
          <cell r="F100">
            <v>48985.701000000001</v>
          </cell>
          <cell r="G100">
            <v>42331.974000000002</v>
          </cell>
          <cell r="H100">
            <v>42898.47</v>
          </cell>
          <cell r="I100">
            <v>42598.718999999997</v>
          </cell>
          <cell r="J100">
            <v>43182.115000000005</v>
          </cell>
        </row>
      </sheetData>
      <sheetData sheetId="11"/>
      <sheetData sheetId="12">
        <row r="59">
          <cell r="D59">
            <v>8093.0697267777787</v>
          </cell>
          <cell r="E59">
            <v>9166.3944641440885</v>
          </cell>
          <cell r="F59">
            <v>9513.007988169531</v>
          </cell>
          <cell r="G59">
            <v>9506.3406249725595</v>
          </cell>
        </row>
        <row r="118">
          <cell r="D118">
            <v>19458.548000000003</v>
          </cell>
          <cell r="E118">
            <v>20358.698700000001</v>
          </cell>
          <cell r="F118">
            <v>22882.459800547746</v>
          </cell>
        </row>
        <row r="225">
          <cell r="D225">
            <v>1168.3815099999999</v>
          </cell>
          <cell r="E225">
            <v>893.68407000000002</v>
          </cell>
          <cell r="F225">
            <v>948.27060000000006</v>
          </cell>
          <cell r="G225">
            <v>883.76938999999993</v>
          </cell>
          <cell r="H225">
            <v>926.07092215</v>
          </cell>
          <cell r="I225">
            <v>959.88071869304974</v>
          </cell>
          <cell r="J225">
            <v>1004.6709912635047</v>
          </cell>
        </row>
        <row r="241">
          <cell r="D241">
            <v>2400</v>
          </cell>
          <cell r="E241">
            <v>102071.55247</v>
          </cell>
          <cell r="F241">
            <v>58804.290899999993</v>
          </cell>
          <cell r="G241">
            <v>52160.806530000002</v>
          </cell>
        </row>
        <row r="255">
          <cell r="D255">
            <v>4756.0175440640005</v>
          </cell>
          <cell r="E255">
            <v>4581.8544556097995</v>
          </cell>
          <cell r="F255">
            <v>10180.365649920001</v>
          </cell>
          <cell r="G255">
            <v>13109.711537338982</v>
          </cell>
        </row>
        <row r="265">
          <cell r="D265">
            <v>2100</v>
          </cell>
          <cell r="F265">
            <v>3104</v>
          </cell>
          <cell r="G265">
            <v>6765.3193600000004</v>
          </cell>
        </row>
        <row r="269">
          <cell r="D269">
            <v>1360</v>
          </cell>
          <cell r="E269">
            <v>2291.2130326193937</v>
          </cell>
          <cell r="F269">
            <v>1001</v>
          </cell>
          <cell r="G269">
            <v>2291.2130326193937</v>
          </cell>
        </row>
        <row r="307">
          <cell r="D307">
            <v>60659.2019</v>
          </cell>
          <cell r="E307">
            <v>14383.735999999999</v>
          </cell>
          <cell r="F307">
            <v>23906.55411248</v>
          </cell>
          <cell r="G307">
            <v>27941.667134399999</v>
          </cell>
        </row>
        <row r="357">
          <cell r="D357">
            <v>3028.9559999999997</v>
          </cell>
          <cell r="E357">
            <v>4603.3630000000003</v>
          </cell>
        </row>
        <row r="358">
          <cell r="D358">
            <v>23133.887999999999</v>
          </cell>
          <cell r="E358">
            <v>27205.152999999998</v>
          </cell>
          <cell r="F358">
            <v>29290</v>
          </cell>
        </row>
        <row r="359">
          <cell r="D359">
            <v>2019.3040000000001</v>
          </cell>
          <cell r="E359">
            <v>1975.489</v>
          </cell>
        </row>
        <row r="404">
          <cell r="D404">
            <v>10000</v>
          </cell>
          <cell r="F404">
            <v>10000</v>
          </cell>
          <cell r="G404">
            <v>9752.1875639999998</v>
          </cell>
        </row>
        <row r="405">
          <cell r="D405">
            <v>417.88</v>
          </cell>
          <cell r="E405">
            <v>2836</v>
          </cell>
          <cell r="F405">
            <v>1475.41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6">
          <cell r="D406">
            <v>2310.1759999999999</v>
          </cell>
          <cell r="E406">
            <v>3506</v>
          </cell>
          <cell r="F406">
            <v>2310.1759999999999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9">
          <cell r="D409">
            <v>1893.318912</v>
          </cell>
          <cell r="E409">
            <v>3219</v>
          </cell>
          <cell r="F409">
            <v>5326</v>
          </cell>
          <cell r="G409">
            <v>3977.5001999999995</v>
          </cell>
        </row>
        <row r="410">
          <cell r="D410">
            <v>188.16</v>
          </cell>
          <cell r="E410">
            <v>271.01</v>
          </cell>
          <cell r="F410">
            <v>217</v>
          </cell>
          <cell r="G410">
            <v>284.56049999999999</v>
          </cell>
        </row>
        <row r="441">
          <cell r="E441">
            <v>3164.8359999999998</v>
          </cell>
          <cell r="F441">
            <v>3100.0010717999999</v>
          </cell>
          <cell r="G441">
            <v>3307.2536199999995</v>
          </cell>
        </row>
      </sheetData>
      <sheetData sheetId="13"/>
      <sheetData sheetId="14"/>
      <sheetData sheetId="15"/>
      <sheetData sheetId="16"/>
      <sheetData sheetId="17">
        <row r="93">
          <cell r="C93">
            <v>1611.64</v>
          </cell>
          <cell r="D93">
            <v>1627.7564000000002</v>
          </cell>
        </row>
        <row r="94">
          <cell r="C94">
            <v>4801.6000000000004</v>
          </cell>
          <cell r="D94">
            <v>5866.23</v>
          </cell>
        </row>
        <row r="106">
          <cell r="C106">
            <v>9287.7976799999997</v>
          </cell>
        </row>
      </sheetData>
      <sheetData sheetId="18"/>
      <sheetData sheetId="19">
        <row r="36">
          <cell r="D36">
            <v>42880.324796723195</v>
          </cell>
          <cell r="E36">
            <v>59970.268547120191</v>
          </cell>
          <cell r="F36">
            <v>70146.832925079987</v>
          </cell>
          <cell r="G36">
            <v>74953.596956829657</v>
          </cell>
        </row>
      </sheetData>
      <sheetData sheetId="20">
        <row r="25">
          <cell r="D25">
            <v>360588.20904060424</v>
          </cell>
          <cell r="E25">
            <v>459878.96098335489</v>
          </cell>
          <cell r="F25">
            <v>446846.20703100995</v>
          </cell>
          <cell r="G25">
            <v>518264.4150736992</v>
          </cell>
        </row>
      </sheetData>
      <sheetData sheetId="21"/>
      <sheetData sheetId="22">
        <row r="27">
          <cell r="D27">
            <v>23619.023160064004</v>
          </cell>
          <cell r="E27">
            <v>29169.534160609797</v>
          </cell>
          <cell r="F27">
            <v>35372.842709720004</v>
          </cell>
        </row>
      </sheetData>
      <sheetData sheetId="23">
        <row r="25">
          <cell r="D25">
            <v>219898.9606708418</v>
          </cell>
          <cell r="E25">
            <v>327556.08896947396</v>
          </cell>
          <cell r="F25">
            <v>324476.18826123321</v>
          </cell>
        </row>
      </sheetData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ёт ВС методом индексации"/>
      <sheetName val="Неподконтрольные расходы ВС"/>
      <sheetName val="Базовый уровень опер.расх.ВС "/>
      <sheetName val="Смета ВС_2016 (анализ)"/>
      <sheetName val="Смета ВС_2016"/>
      <sheetName val="расшифровки ВС_2016"/>
      <sheetName val="Цеховые расходы "/>
      <sheetName val="Зар.плата осн.персонала"/>
      <sheetName val="Баланс ВС_2016 (2)"/>
      <sheetName val="Баланс ВО 2016"/>
      <sheetName val="Баланс ВС_2016"/>
      <sheetName val="Админ. расх. (2)"/>
      <sheetName val="Кап.вложения"/>
      <sheetName val="ИПЦ"/>
      <sheetName val="Прилож1.1 по-новому"/>
      <sheetName val="Смета ВО_2016"/>
      <sheetName val="Смета ВО_2016 _анализ"/>
      <sheetName val="Экспертиза ВО"/>
      <sheetName val="расшифровки ВО_2016"/>
      <sheetName val="эксплуат. затр. по очистным"/>
      <sheetName val="затраты на ремонт  _6 мес.2015"/>
      <sheetName val="по объемам_2013"/>
      <sheetName val="по объемам_2014 (2)"/>
      <sheetName val="сбытовые расходы"/>
      <sheetName val="расшифровка кредитов"/>
      <sheetName val="охрана озер"/>
      <sheetName val="налоги"/>
      <sheetName val="материалы- ВС,ВО"/>
      <sheetName val="ФОТ по тек. и капит. ремонту"/>
      <sheetName val="Неподконтрольные расходы В0"/>
      <sheetName val="Базовый уровень опер.расх.ВО"/>
      <sheetName val="Расчёт ВО методом индексаци "/>
      <sheetName val="опер. расх. всего_версия май"/>
      <sheetName val="индекс изменения активоа"/>
      <sheetName val="Экспертиза ВС"/>
      <sheetName val="анализ ФОТ"/>
      <sheetName val="Лист2"/>
    </sheetNames>
    <sheetDataSet>
      <sheetData sheetId="0"/>
      <sheetData sheetId="1"/>
      <sheetData sheetId="2"/>
      <sheetData sheetId="3"/>
      <sheetData sheetId="4"/>
      <sheetData sheetId="5">
        <row r="66">
          <cell r="E66">
            <v>75548.850217999992</v>
          </cell>
          <cell r="F66">
            <v>75317.127132852678</v>
          </cell>
          <cell r="G66">
            <v>87730.314410000006</v>
          </cell>
          <cell r="H66">
            <v>40105.535199999998</v>
          </cell>
          <cell r="I66">
            <v>103184.77899999999</v>
          </cell>
          <cell r="J66">
            <v>149866.22293876001</v>
          </cell>
          <cell r="K66">
            <v>154729.834568046</v>
          </cell>
          <cell r="L66">
            <v>162459.493177761</v>
          </cell>
          <cell r="M66">
            <v>98678.515022066742</v>
          </cell>
        </row>
        <row r="80">
          <cell r="E80">
            <v>7795.1102408881325</v>
          </cell>
          <cell r="F80">
            <v>7355.7455652621475</v>
          </cell>
          <cell r="G80">
            <v>8197.4431674917996</v>
          </cell>
          <cell r="H80">
            <v>4509.4796700873585</v>
          </cell>
          <cell r="I80">
            <v>8595.627823016217</v>
          </cell>
          <cell r="J80">
            <v>8029.6540141226305</v>
          </cell>
          <cell r="K80">
            <v>8374.9291367299029</v>
          </cell>
          <cell r="L80">
            <v>8735.0510896092874</v>
          </cell>
          <cell r="M80">
            <v>8125.4956574377075</v>
          </cell>
        </row>
        <row r="97">
          <cell r="D97">
            <v>5394.9824956444436</v>
          </cell>
          <cell r="E97">
            <v>5486.6264496479998</v>
          </cell>
          <cell r="F97">
            <v>5692.1533043048876</v>
          </cell>
          <cell r="G97">
            <v>5710.9975417504002</v>
          </cell>
          <cell r="H97">
            <v>2480.1041121999997</v>
          </cell>
          <cell r="I97">
            <v>4607.3456194</v>
          </cell>
          <cell r="J97">
            <v>4804.7913550479998</v>
          </cell>
          <cell r="K97">
            <v>4637.1099443000639</v>
          </cell>
          <cell r="L97">
            <v>4836.5056719049662</v>
          </cell>
          <cell r="M97">
            <v>2965.9034169599995</v>
          </cell>
        </row>
        <row r="154">
          <cell r="E154">
            <v>85452.684260000009</v>
          </cell>
          <cell r="F154">
            <v>99221.139540000004</v>
          </cell>
          <cell r="G154">
            <v>85402.459593000007</v>
          </cell>
          <cell r="H154">
            <v>43117.899999999994</v>
          </cell>
          <cell r="I154">
            <v>95641.9</v>
          </cell>
          <cell r="J154">
            <v>99503.809000000008</v>
          </cell>
          <cell r="K154">
            <v>104777.511</v>
          </cell>
          <cell r="L154">
            <v>110330.72</v>
          </cell>
          <cell r="M154">
            <v>96985.115341571465</v>
          </cell>
        </row>
        <row r="172">
          <cell r="H172">
            <v>2627.95</v>
          </cell>
          <cell r="I172">
            <v>4391.75</v>
          </cell>
          <cell r="J172">
            <v>3579.2224999999999</v>
          </cell>
          <cell r="K172">
            <v>3733.1290674999996</v>
          </cell>
          <cell r="L172">
            <v>3893.6536174024991</v>
          </cell>
        </row>
        <row r="177">
          <cell r="E177">
            <v>5039.5480114000002</v>
          </cell>
          <cell r="F177">
            <v>2715.3230250000001</v>
          </cell>
          <cell r="G177">
            <v>4381.1189226000006</v>
          </cell>
          <cell r="M177">
            <v>3486.3068749999993</v>
          </cell>
        </row>
        <row r="195">
          <cell r="E195">
            <v>0</v>
          </cell>
        </row>
        <row r="219">
          <cell r="E219">
            <v>765.9913415499999</v>
          </cell>
          <cell r="F219">
            <v>987.50872519999996</v>
          </cell>
          <cell r="G219">
            <v>1459.1224141649998</v>
          </cell>
          <cell r="H219">
            <v>626.36227999999994</v>
          </cell>
          <cell r="I219">
            <v>1558.3150799999999</v>
          </cell>
          <cell r="J219">
            <v>1865.5016386</v>
          </cell>
          <cell r="K219">
            <v>1972.1421660517999</v>
          </cell>
          <cell r="L219">
            <v>2085.4957272883826</v>
          </cell>
          <cell r="M219">
            <v>1097.361787</v>
          </cell>
        </row>
        <row r="240">
          <cell r="E240">
            <v>12194.269200000001</v>
          </cell>
          <cell r="F240">
            <v>13353.590700000001</v>
          </cell>
          <cell r="G240">
            <v>13105.715549999999</v>
          </cell>
          <cell r="H240">
            <v>4804.2987400000002</v>
          </cell>
          <cell r="I240">
            <v>13382.423875</v>
          </cell>
          <cell r="J240">
            <v>13726.810052999997</v>
          </cell>
          <cell r="K240">
            <v>14227.513651289395</v>
          </cell>
          <cell r="L240">
            <v>14891.896871888763</v>
          </cell>
          <cell r="M240">
            <v>13989.0792</v>
          </cell>
        </row>
        <row r="262">
          <cell r="D262">
            <v>0</v>
          </cell>
          <cell r="E262">
            <v>0</v>
          </cell>
          <cell r="F262">
            <v>8426.7199999999993</v>
          </cell>
          <cell r="M262">
            <v>7520.625</v>
          </cell>
        </row>
        <row r="277">
          <cell r="D277">
            <v>7134.3047967231996</v>
          </cell>
          <cell r="E277">
            <v>6593.4003141701987</v>
          </cell>
          <cell r="F277">
            <v>15270.548474879999</v>
          </cell>
          <cell r="G277">
            <v>18865.194651292681</v>
          </cell>
          <cell r="H277">
            <v>7796.6153129269987</v>
          </cell>
          <cell r="I277">
            <v>14224.503886774455</v>
          </cell>
          <cell r="J277">
            <v>24529.93735</v>
          </cell>
          <cell r="K277">
            <v>11084.6847375</v>
          </cell>
          <cell r="L277">
            <v>5542.3423687499999</v>
          </cell>
          <cell r="M277">
            <v>22829.93735</v>
          </cell>
        </row>
        <row r="286">
          <cell r="D286">
            <v>2485.4</v>
          </cell>
          <cell r="E286">
            <v>0</v>
          </cell>
          <cell r="G286">
            <v>0</v>
          </cell>
          <cell r="J286">
            <v>2677.5</v>
          </cell>
          <cell r="K286">
            <v>2701.23</v>
          </cell>
          <cell r="L286">
            <v>2985.36</v>
          </cell>
          <cell r="M286">
            <v>2677.5</v>
          </cell>
        </row>
        <row r="291">
          <cell r="E291">
            <v>3297.1114371840054</v>
          </cell>
          <cell r="F291">
            <v>1583.56</v>
          </cell>
          <cell r="G291">
            <v>2805</v>
          </cell>
          <cell r="H291">
            <v>1051.4745887999998</v>
          </cell>
          <cell r="I291">
            <v>2102.9491775999995</v>
          </cell>
          <cell r="J291">
            <v>2197.5818905919996</v>
          </cell>
          <cell r="K291">
            <v>2292.0779118874552</v>
          </cell>
          <cell r="L291">
            <v>2390.6372620986158</v>
          </cell>
          <cell r="M291">
            <v>2102.9499999999998</v>
          </cell>
        </row>
        <row r="292">
          <cell r="D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</row>
        <row r="305">
          <cell r="M305">
            <v>11569.278599999998</v>
          </cell>
        </row>
        <row r="306">
          <cell r="M306">
            <v>16349.728599999999</v>
          </cell>
        </row>
        <row r="313">
          <cell r="D313">
            <v>13627.8</v>
          </cell>
          <cell r="E313">
            <v>9338.6</v>
          </cell>
          <cell r="F313">
            <v>16415.400000000001</v>
          </cell>
          <cell r="G313">
            <v>16415.400000000001</v>
          </cell>
          <cell r="H313">
            <v>3832.0311359999992</v>
          </cell>
          <cell r="I313">
            <v>16415.400000000001</v>
          </cell>
          <cell r="J313">
            <v>18246.560000000001</v>
          </cell>
          <cell r="K313">
            <v>19031.16</v>
          </cell>
          <cell r="L313">
            <v>19836.68</v>
          </cell>
          <cell r="M313">
            <v>6932.6614800000007</v>
          </cell>
        </row>
        <row r="321">
          <cell r="D321">
            <v>80028.299999999988</v>
          </cell>
          <cell r="E321">
            <v>40362.868000000002</v>
          </cell>
          <cell r="G321">
            <v>33794.18</v>
          </cell>
          <cell r="H321">
            <v>15733.232639999998</v>
          </cell>
          <cell r="I321">
            <v>33794.18</v>
          </cell>
          <cell r="J321">
            <v>80027.679000000004</v>
          </cell>
          <cell r="K321">
            <v>79409.237999999998</v>
          </cell>
          <cell r="L321">
            <v>64812.381999999998</v>
          </cell>
          <cell r="M321">
            <v>46957.133515000009</v>
          </cell>
        </row>
        <row r="330">
          <cell r="G330">
            <v>1719.1893600000001</v>
          </cell>
        </row>
        <row r="383">
          <cell r="F383">
            <v>34140.699999999997</v>
          </cell>
          <cell r="M383">
            <v>49381.307484999998</v>
          </cell>
        </row>
        <row r="384">
          <cell r="E384">
            <v>3870.7</v>
          </cell>
          <cell r="G384">
            <v>2929.9234643999998</v>
          </cell>
          <cell r="H384">
            <v>2970.19</v>
          </cell>
          <cell r="I384">
            <v>5970.0819000000001</v>
          </cell>
          <cell r="J384">
            <v>4849.9180149999993</v>
          </cell>
          <cell r="K384">
            <v>7743.0770399999992</v>
          </cell>
          <cell r="L384">
            <v>6196.0945499999998</v>
          </cell>
        </row>
        <row r="385">
          <cell r="E385">
            <v>21926.545999999998</v>
          </cell>
          <cell r="G385">
            <v>32284.439683199995</v>
          </cell>
          <cell r="H385">
            <v>12696.406000000001</v>
          </cell>
          <cell r="I385">
            <v>25519.776060000004</v>
          </cell>
          <cell r="J385">
            <v>35842.069935</v>
          </cell>
          <cell r="K385">
            <v>63030.973354999995</v>
          </cell>
          <cell r="L385">
            <v>91299.298999999999</v>
          </cell>
        </row>
        <row r="386">
          <cell r="E386">
            <v>2778.7700000000004</v>
          </cell>
          <cell r="G386">
            <v>7131.3231491999995</v>
          </cell>
          <cell r="H386">
            <v>2372.65</v>
          </cell>
          <cell r="I386">
            <v>4769.0264999999999</v>
          </cell>
          <cell r="J386">
            <v>2701.1193749999998</v>
          </cell>
          <cell r="K386">
            <v>2728.1295699999996</v>
          </cell>
          <cell r="L386">
            <v>2755.4114249999993</v>
          </cell>
        </row>
        <row r="387">
          <cell r="E387">
            <v>2400</v>
          </cell>
          <cell r="G387">
            <v>9840.1203143999992</v>
          </cell>
          <cell r="H387">
            <v>5891.1239999999998</v>
          </cell>
          <cell r="I387">
            <v>10056.148668</v>
          </cell>
          <cell r="J387">
            <v>5946.0301600000003</v>
          </cell>
          <cell r="K387">
            <v>6005.4877449999994</v>
          </cell>
          <cell r="L387">
            <v>6065.5445799999998</v>
          </cell>
        </row>
        <row r="388">
          <cell r="G388">
            <v>6.57</v>
          </cell>
        </row>
        <row r="395">
          <cell r="M395">
            <v>49381.307484999998</v>
          </cell>
        </row>
        <row r="403">
          <cell r="E403">
            <v>0</v>
          </cell>
        </row>
        <row r="410">
          <cell r="D410">
            <v>0</v>
          </cell>
          <cell r="E410">
            <v>0</v>
          </cell>
        </row>
        <row r="414">
          <cell r="D414">
            <v>0</v>
          </cell>
          <cell r="E414">
            <v>0</v>
          </cell>
        </row>
        <row r="419">
          <cell r="D419">
            <v>0</v>
          </cell>
          <cell r="E419">
            <v>0</v>
          </cell>
        </row>
        <row r="430">
          <cell r="E430">
            <v>10393.487879999999</v>
          </cell>
          <cell r="F430">
            <v>12436</v>
          </cell>
          <cell r="G430">
            <v>10913.162274</v>
          </cell>
          <cell r="M430">
            <v>10913.162274</v>
          </cell>
        </row>
        <row r="431"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E432">
            <v>1611.64</v>
          </cell>
          <cell r="G432">
            <v>1627.7564000000002</v>
          </cell>
          <cell r="H432">
            <v>969.375</v>
          </cell>
          <cell r="I432">
            <v>1938.75</v>
          </cell>
          <cell r="J432">
            <v>1958.1375</v>
          </cell>
          <cell r="K432">
            <v>1977.718875</v>
          </cell>
          <cell r="L432">
            <v>1997.4960637500001</v>
          </cell>
          <cell r="M432">
            <v>1958.1375</v>
          </cell>
        </row>
        <row r="433">
          <cell r="E433">
            <v>4801.6000000000004</v>
          </cell>
          <cell r="F433">
            <v>4281.99</v>
          </cell>
          <cell r="G433">
            <v>5866.23</v>
          </cell>
          <cell r="H433">
            <v>3218.69</v>
          </cell>
          <cell r="I433">
            <v>6437.38</v>
          </cell>
          <cell r="J433">
            <v>6733.4525000000003</v>
          </cell>
          <cell r="K433">
            <v>7823</v>
          </cell>
          <cell r="L433">
            <v>9047.7999999999993</v>
          </cell>
          <cell r="M433">
            <v>6733.4525000000003</v>
          </cell>
        </row>
        <row r="436">
          <cell r="E436">
            <v>5723.7197999999989</v>
          </cell>
          <cell r="F436">
            <v>702</v>
          </cell>
          <cell r="G436">
            <v>5723.7197999999989</v>
          </cell>
          <cell r="H436">
            <v>4534.6550399999996</v>
          </cell>
          <cell r="I436">
            <v>9069.3100799999993</v>
          </cell>
          <cell r="J436">
            <v>9160.0031807999985</v>
          </cell>
          <cell r="K436">
            <v>9251.603212607999</v>
          </cell>
          <cell r="L436">
            <v>9344.11924473408</v>
          </cell>
          <cell r="M436">
            <v>5723.7197999999989</v>
          </cell>
        </row>
        <row r="437">
          <cell r="E437">
            <v>389.98999999999995</v>
          </cell>
          <cell r="F437">
            <v>309</v>
          </cell>
          <cell r="G437">
            <v>409.48950000000002</v>
          </cell>
          <cell r="H437">
            <v>224.46828479999999</v>
          </cell>
          <cell r="I437">
            <v>448.93656959999998</v>
          </cell>
          <cell r="J437">
            <v>453.42593529599998</v>
          </cell>
          <cell r="K437">
            <v>457.96019464896</v>
          </cell>
          <cell r="L437">
            <v>462.53979659544956</v>
          </cell>
          <cell r="M437">
            <v>453.42593529599998</v>
          </cell>
        </row>
        <row r="441">
          <cell r="E441">
            <v>0</v>
          </cell>
          <cell r="G441">
            <v>0</v>
          </cell>
          <cell r="J441">
            <v>0</v>
          </cell>
        </row>
        <row r="460">
          <cell r="J460">
            <v>6758.2120000000004</v>
          </cell>
        </row>
        <row r="468">
          <cell r="E468">
            <v>7824.9219999999996</v>
          </cell>
          <cell r="F468">
            <v>7440.5519999999997</v>
          </cell>
          <cell r="M468">
            <v>7824.9219999999996</v>
          </cell>
        </row>
      </sheetData>
      <sheetData sheetId="6">
        <row r="63">
          <cell r="J63">
            <v>12507.791422336721</v>
          </cell>
          <cell r="K63">
            <v>24877.432215673445</v>
          </cell>
          <cell r="L63">
            <v>26101.316212873742</v>
          </cell>
          <cell r="M63">
            <v>27313.396548131317</v>
          </cell>
          <cell r="N63">
            <v>28427.743100161963</v>
          </cell>
          <cell r="O63">
            <v>14929.50682114878</v>
          </cell>
        </row>
      </sheetData>
      <sheetData sheetId="7">
        <row r="92">
          <cell r="H92">
            <v>17797806</v>
          </cell>
          <cell r="I92">
            <v>37046520</v>
          </cell>
          <cell r="J92">
            <v>40680296</v>
          </cell>
          <cell r="K92">
            <v>42575823.674999997</v>
          </cell>
          <cell r="L92">
            <v>44406584.093024999</v>
          </cell>
        </row>
        <row r="112">
          <cell r="E112">
            <v>161397.15701400003</v>
          </cell>
          <cell r="G112">
            <v>178698.94954560001</v>
          </cell>
          <cell r="H112">
            <v>82328.2785</v>
          </cell>
          <cell r="I112">
            <v>172323.99966600002</v>
          </cell>
          <cell r="J112">
            <v>164992.3734288</v>
          </cell>
          <cell r="K112">
            <v>169181.66385183836</v>
          </cell>
          <cell r="L112">
            <v>176456.47539746738</v>
          </cell>
        </row>
        <row r="150">
          <cell r="F150">
            <v>166992.19523449324</v>
          </cell>
          <cell r="M150">
            <v>164992.3734288</v>
          </cell>
          <cell r="O150">
            <v>0</v>
          </cell>
        </row>
        <row r="152">
          <cell r="E152">
            <v>48741.941418228009</v>
          </cell>
          <cell r="F152">
            <v>50431.642960816956</v>
          </cell>
          <cell r="G152">
            <v>53967.082762771199</v>
          </cell>
          <cell r="H152">
            <v>24863.140106999999</v>
          </cell>
          <cell r="I152">
            <v>52041.847899132008</v>
          </cell>
          <cell r="J152">
            <v>49827.696775497599</v>
          </cell>
          <cell r="K152">
            <v>51092.862483255187</v>
          </cell>
          <cell r="L152">
            <v>53289.85557003515</v>
          </cell>
          <cell r="M152">
            <v>49827.696775497599</v>
          </cell>
          <cell r="O152">
            <v>0</v>
          </cell>
        </row>
        <row r="196">
          <cell r="E196">
            <v>5264.6983200000004</v>
          </cell>
        </row>
        <row r="217">
          <cell r="F217">
            <v>5581.6991999999991</v>
          </cell>
        </row>
        <row r="221">
          <cell r="G221">
            <v>5692.68</v>
          </cell>
          <cell r="H221">
            <v>2894.3964000000005</v>
          </cell>
          <cell r="I221">
            <v>5725.0998000000009</v>
          </cell>
          <cell r="J221">
            <v>5953.8779999999997</v>
          </cell>
          <cell r="K221">
            <v>6209.8947539999999</v>
          </cell>
          <cell r="L221">
            <v>6476.9202284219982</v>
          </cell>
          <cell r="M221">
            <v>5953.8779999999997</v>
          </cell>
          <cell r="O221">
            <v>0</v>
          </cell>
        </row>
        <row r="223">
          <cell r="E223">
            <v>1589.9388926399999</v>
          </cell>
          <cell r="F223">
            <v>1685.6731583999997</v>
          </cell>
          <cell r="H223">
            <v>874.10771280000017</v>
          </cell>
          <cell r="I223">
            <v>1728.9801396</v>
          </cell>
          <cell r="J223">
            <v>1798.071156</v>
          </cell>
          <cell r="K223">
            <v>1875.388215708</v>
          </cell>
          <cell r="L223">
            <v>1956.0299089834434</v>
          </cell>
          <cell r="M223">
            <v>1798.071156</v>
          </cell>
          <cell r="O223">
            <v>0</v>
          </cell>
        </row>
      </sheetData>
      <sheetData sheetId="8">
        <row r="48">
          <cell r="O48">
            <v>40762.129321767512</v>
          </cell>
        </row>
      </sheetData>
      <sheetData sheetId="9"/>
      <sheetData sheetId="10"/>
      <sheetData sheetId="11">
        <row r="11">
          <cell r="O11">
            <v>880.67701</v>
          </cell>
          <cell r="Q11">
            <v>1840.6149508999999</v>
          </cell>
          <cell r="R11">
            <v>0</v>
          </cell>
          <cell r="U11">
            <v>0</v>
          </cell>
          <cell r="X11">
            <v>0</v>
          </cell>
          <cell r="AA11">
            <v>1036.2662173566998</v>
          </cell>
        </row>
        <row r="12">
          <cell r="O12">
            <v>215.07177999999999</v>
          </cell>
          <cell r="Q12">
            <v>449.50002019999994</v>
          </cell>
          <cell r="R12">
            <v>0</v>
          </cell>
          <cell r="U12">
            <v>0</v>
          </cell>
          <cell r="X12">
            <v>0</v>
          </cell>
          <cell r="AA12">
            <v>253.06851137259994</v>
          </cell>
        </row>
        <row r="13">
          <cell r="O13">
            <v>0</v>
          </cell>
          <cell r="Q13">
            <v>1541.375</v>
          </cell>
          <cell r="R13">
            <v>0</v>
          </cell>
          <cell r="U13">
            <v>0</v>
          </cell>
          <cell r="X13">
            <v>0</v>
          </cell>
          <cell r="AA13">
            <v>852.01604999999995</v>
          </cell>
        </row>
        <row r="14">
          <cell r="O14">
            <v>263.36713000000003</v>
          </cell>
          <cell r="Q14">
            <v>550.43730170000003</v>
          </cell>
          <cell r="R14">
            <v>0</v>
          </cell>
          <cell r="U14">
            <v>0</v>
          </cell>
          <cell r="X14">
            <v>0</v>
          </cell>
          <cell r="AA14">
            <v>309.89620085709998</v>
          </cell>
        </row>
        <row r="15">
          <cell r="G15">
            <v>699</v>
          </cell>
          <cell r="Q15">
            <v>0</v>
          </cell>
          <cell r="R15">
            <v>0</v>
          </cell>
          <cell r="U15">
            <v>0</v>
          </cell>
          <cell r="X15">
            <v>0</v>
          </cell>
          <cell r="AA15">
            <v>0</v>
          </cell>
        </row>
        <row r="16">
          <cell r="O16">
            <v>724.02088000000003</v>
          </cell>
          <cell r="Q16">
            <v>1513.2036392</v>
          </cell>
          <cell r="R16">
            <v>0</v>
          </cell>
          <cell r="U16">
            <v>0</v>
          </cell>
          <cell r="X16">
            <v>0</v>
          </cell>
          <cell r="AA16">
            <v>836.44394616287991</v>
          </cell>
        </row>
        <row r="17">
          <cell r="R17">
            <v>0</v>
          </cell>
        </row>
        <row r="18">
          <cell r="D18">
            <v>3213.4</v>
          </cell>
          <cell r="G18">
            <v>1411</v>
          </cell>
          <cell r="O18">
            <v>570</v>
          </cell>
          <cell r="Q18">
            <v>1320</v>
          </cell>
          <cell r="AA18">
            <v>731.9</v>
          </cell>
        </row>
        <row r="19">
          <cell r="AA19">
            <v>446.12119999999993</v>
          </cell>
        </row>
        <row r="22">
          <cell r="AA22">
            <v>23950.349036657277</v>
          </cell>
        </row>
        <row r="40">
          <cell r="AA40">
            <v>7233.005409070498</v>
          </cell>
        </row>
        <row r="43">
          <cell r="O43">
            <v>5.76</v>
          </cell>
          <cell r="P43">
            <v>11.52</v>
          </cell>
          <cell r="R43">
            <v>0</v>
          </cell>
          <cell r="U43">
            <v>0</v>
          </cell>
          <cell r="X43">
            <v>0</v>
          </cell>
          <cell r="AA43">
            <v>6.7776191999999993</v>
          </cell>
        </row>
        <row r="44">
          <cell r="O44">
            <v>336.33708000000001</v>
          </cell>
          <cell r="P44">
            <v>672.67416000000003</v>
          </cell>
          <cell r="R44">
            <v>0</v>
          </cell>
          <cell r="U44">
            <v>0</v>
          </cell>
          <cell r="X44">
            <v>0</v>
          </cell>
          <cell r="AA44">
            <v>304.992864</v>
          </cell>
        </row>
        <row r="45">
          <cell r="O45">
            <v>607.92999999999995</v>
          </cell>
          <cell r="P45">
            <v>1215.8599999999999</v>
          </cell>
          <cell r="R45">
            <v>0</v>
          </cell>
          <cell r="U45">
            <v>0</v>
          </cell>
          <cell r="X45">
            <v>0</v>
          </cell>
          <cell r="AA45">
            <v>319.08723119999996</v>
          </cell>
        </row>
        <row r="46">
          <cell r="O46">
            <v>49.803320000000006</v>
          </cell>
          <cell r="P46">
            <v>99.606640000000013</v>
          </cell>
          <cell r="R46">
            <v>0</v>
          </cell>
          <cell r="U46">
            <v>0</v>
          </cell>
          <cell r="X46">
            <v>0</v>
          </cell>
          <cell r="AA46">
            <v>58.602072544400002</v>
          </cell>
        </row>
        <row r="48">
          <cell r="O48">
            <v>660.27949000000001</v>
          </cell>
          <cell r="P48">
            <v>1320.55898</v>
          </cell>
          <cell r="R48">
            <v>0</v>
          </cell>
          <cell r="U48">
            <v>0</v>
          </cell>
          <cell r="X48">
            <v>0</v>
          </cell>
          <cell r="AA48">
            <v>300.53061044999998</v>
          </cell>
        </row>
        <row r="49">
          <cell r="O49">
            <v>351.00847000000005</v>
          </cell>
          <cell r="P49">
            <v>702.01694000000009</v>
          </cell>
          <cell r="R49">
            <v>0</v>
          </cell>
          <cell r="U49">
            <v>0</v>
          </cell>
          <cell r="X49">
            <v>0</v>
          </cell>
          <cell r="AA49">
            <v>312.35774849999996</v>
          </cell>
        </row>
        <row r="50">
          <cell r="O50">
            <v>317.60550999999998</v>
          </cell>
          <cell r="P50">
            <v>635.21101999999996</v>
          </cell>
          <cell r="R50">
            <v>0</v>
          </cell>
          <cell r="U50">
            <v>0</v>
          </cell>
          <cell r="X50">
            <v>0</v>
          </cell>
          <cell r="AA50">
            <v>424.02907300071627</v>
          </cell>
        </row>
        <row r="51">
          <cell r="AA51">
            <v>669.15702799999997</v>
          </cell>
        </row>
        <row r="53">
          <cell r="O53">
            <v>6624.68</v>
          </cell>
          <cell r="P53">
            <v>13249.36</v>
          </cell>
          <cell r="R53">
            <v>0</v>
          </cell>
          <cell r="U53">
            <v>0</v>
          </cell>
          <cell r="X53">
            <v>0</v>
          </cell>
          <cell r="AA53">
            <v>7795.0615399999988</v>
          </cell>
        </row>
        <row r="56">
          <cell r="O56">
            <v>2892.32</v>
          </cell>
          <cell r="P56">
            <v>5784.64</v>
          </cell>
          <cell r="R56">
            <v>11569.278599999998</v>
          </cell>
          <cell r="U56">
            <v>12066.757579799998</v>
          </cell>
          <cell r="X56">
            <v>12585.628155731396</v>
          </cell>
        </row>
      </sheetData>
      <sheetData sheetId="12">
        <row r="24">
          <cell r="K24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9">
          <cell r="H9">
            <v>8177043.4899999993</v>
          </cell>
          <cell r="I9">
            <v>8528656.3600699995</v>
          </cell>
          <cell r="J9">
            <v>8895388.5835530087</v>
          </cell>
        </row>
      </sheetData>
      <sheetData sheetId="24">
        <row r="73">
          <cell r="B73">
            <v>0.59</v>
          </cell>
        </row>
      </sheetData>
      <sheetData sheetId="25"/>
      <sheetData sheetId="26">
        <row r="97">
          <cell r="H97">
            <v>6305.6802239999997</v>
          </cell>
          <cell r="I97">
            <v>17441.691557999999</v>
          </cell>
          <cell r="J97">
            <v>26832.239810624</v>
          </cell>
          <cell r="K97">
            <v>21796.254630155203</v>
          </cell>
          <cell r="L97">
            <v>44411.338733662968</v>
          </cell>
        </row>
        <row r="105">
          <cell r="H105">
            <v>15252.868548799999</v>
          </cell>
          <cell r="I105">
            <v>35336.068207600001</v>
          </cell>
          <cell r="J105">
            <v>45137.258926720002</v>
          </cell>
          <cell r="K105">
            <v>41306.536912412157</v>
          </cell>
          <cell r="L105">
            <v>65263.293838742487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б Янв"/>
      <sheetName val="Себ Февр"/>
      <sheetName val="Себ Март"/>
      <sheetName val="Себ 1 кв"/>
      <sheetName val="Себ Апр"/>
      <sheetName val="Себ Май"/>
      <sheetName val="Себ Июн"/>
      <sheetName val="Себ 2 кв"/>
      <sheetName val="Себ 1 полугодие для Службы"/>
      <sheetName val="Себ 1 полугодие"/>
      <sheetName val="Себ Июл"/>
      <sheetName val="Себ Авг"/>
      <sheetName val="Себ Сент"/>
      <sheetName val="Себ 3 кв "/>
      <sheetName val="Себ 9 месяцев"/>
      <sheetName val="Себ Окт"/>
      <sheetName val="Себ Нояб"/>
      <sheetName val="Себ Дек"/>
      <sheetName val="Себ 4 кв"/>
      <sheetName val="Себ ГОД"/>
      <sheetName val="СВОД"/>
      <sheetName val="6в"/>
      <sheetName val="6к"/>
      <sheetName val="6к ливневка"/>
      <sheetName val="Свод кальк"/>
      <sheetName val="ХВ_47 "/>
      <sheetName val="ВО_47"/>
      <sheetName val="Приказ 47 "/>
      <sheetName val=" ФХД"/>
      <sheetName val="Пр. прям"/>
      <sheetName val="Объемы"/>
      <sheetName val="Кап рем"/>
      <sheetName val="Справка"/>
      <sheetName val="Выручка Бух"/>
      <sheetName val="Распред Выр"/>
      <sheetName val="1 кв (на тарифы)"/>
      <sheetName val="Себ 1 пол (на тарифы)"/>
      <sheetName val="Структура "/>
      <sheetName val="ТМЦ"/>
      <sheetName val="Лист1"/>
      <sheetName val="6к факт ливне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6">
          <cell r="ET36">
            <v>0</v>
          </cell>
        </row>
        <row r="219">
          <cell r="ET219">
            <v>274.08972999999997</v>
          </cell>
        </row>
        <row r="230">
          <cell r="ET230">
            <v>12.735470000000001</v>
          </cell>
        </row>
        <row r="234">
          <cell r="ET234">
            <v>11894.53722</v>
          </cell>
        </row>
        <row r="235">
          <cell r="ET235">
            <v>2999.2862700000001</v>
          </cell>
        </row>
        <row r="252">
          <cell r="ET252">
            <v>5432.6832177294118</v>
          </cell>
        </row>
        <row r="264">
          <cell r="ET264">
            <v>211.34927000000002</v>
          </cell>
        </row>
        <row r="265">
          <cell r="ET265">
            <v>3.6474600000000001</v>
          </cell>
        </row>
        <row r="275">
          <cell r="ET275">
            <v>669.89187000000004</v>
          </cell>
        </row>
        <row r="276">
          <cell r="ET276">
            <v>3259.3745199999998</v>
          </cell>
        </row>
        <row r="278">
          <cell r="ET278">
            <v>8.5250000000000004</v>
          </cell>
        </row>
        <row r="280">
          <cell r="ET280">
            <v>146.52000000000001</v>
          </cell>
        </row>
        <row r="282">
          <cell r="ET282">
            <v>577.16</v>
          </cell>
        </row>
        <row r="286">
          <cell r="ET286">
            <v>52.173130000000008</v>
          </cell>
        </row>
        <row r="290">
          <cell r="ET290">
            <v>7.6559999999999997</v>
          </cell>
        </row>
        <row r="320">
          <cell r="ET320">
            <v>37.772300000000001</v>
          </cell>
        </row>
        <row r="324">
          <cell r="ET324">
            <v>7.3</v>
          </cell>
        </row>
        <row r="328">
          <cell r="ET328">
            <v>639.86820999999998</v>
          </cell>
        </row>
        <row r="330">
          <cell r="ET330">
            <v>0</v>
          </cell>
        </row>
        <row r="335">
          <cell r="ET335">
            <v>21.25</v>
          </cell>
        </row>
        <row r="345">
          <cell r="CC345">
            <v>310.87371999999999</v>
          </cell>
          <cell r="ET345">
            <v>54.9</v>
          </cell>
        </row>
        <row r="348">
          <cell r="ET348">
            <v>12.841389999999999</v>
          </cell>
        </row>
        <row r="350">
          <cell r="CC350">
            <v>1206.7796599999999</v>
          </cell>
        </row>
        <row r="351">
          <cell r="CC351">
            <v>751.80770999999993</v>
          </cell>
        </row>
        <row r="354">
          <cell r="CC354">
            <v>11.299080000000002</v>
          </cell>
        </row>
        <row r="355">
          <cell r="ET355">
            <v>24.157400000000003</v>
          </cell>
        </row>
        <row r="356">
          <cell r="ET356">
            <v>0</v>
          </cell>
        </row>
        <row r="357">
          <cell r="ET357">
            <v>5.7</v>
          </cell>
        </row>
        <row r="358">
          <cell r="CC358">
            <v>1568.5195499999998</v>
          </cell>
          <cell r="ET358">
            <v>0</v>
          </cell>
        </row>
        <row r="362">
          <cell r="ET362">
            <v>3.34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31">
          <cell r="AK31">
            <v>107684.51270338985</v>
          </cell>
        </row>
      </sheetData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б Янв"/>
      <sheetName val="Себ Февр"/>
      <sheetName val="Себ Март"/>
      <sheetName val="Себ 1 кв"/>
      <sheetName val="Себ Апр"/>
      <sheetName val="Себ Май"/>
      <sheetName val="Себ Июн"/>
      <sheetName val="Себ 2 кв"/>
      <sheetName val="Себ 1 полуг"/>
      <sheetName val="Себ Июл"/>
      <sheetName val="Себ Авг"/>
      <sheetName val="Себ Сент"/>
      <sheetName val="Себ 3 кв"/>
      <sheetName val="Себ 9 мес"/>
      <sheetName val="6в"/>
      <sheetName val="6к"/>
      <sheetName val="6к ливневка"/>
      <sheetName val="Свод кальк"/>
      <sheetName val="ХВ_47 "/>
      <sheetName val="ВО_47"/>
      <sheetName val="Приказ 47 "/>
      <sheetName val=" ФХД"/>
      <sheetName val="Пр. прям"/>
      <sheetName val="СВОД"/>
      <sheetName val="Объемы"/>
      <sheetName val="Кап рем"/>
      <sheetName val="Справка"/>
      <sheetName val="Выручка Бух"/>
      <sheetName val="Распред Выр"/>
      <sheetName val="Структура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95">
          <cell r="IG95">
            <v>5760</v>
          </cell>
        </row>
        <row r="98">
          <cell r="IG98">
            <v>351008.47000000003</v>
          </cell>
        </row>
        <row r="99">
          <cell r="IG99">
            <v>519816.01</v>
          </cell>
        </row>
        <row r="100">
          <cell r="IG100">
            <v>315124.49</v>
          </cell>
        </row>
        <row r="101">
          <cell r="IG101">
            <v>695699.76</v>
          </cell>
        </row>
        <row r="102">
          <cell r="IG102">
            <v>56475.9</v>
          </cell>
        </row>
        <row r="103">
          <cell r="IG103">
            <v>179058</v>
          </cell>
        </row>
        <row r="104">
          <cell r="IG104">
            <v>237155</v>
          </cell>
        </row>
        <row r="106">
          <cell r="IG106">
            <v>108000</v>
          </cell>
        </row>
        <row r="107">
          <cell r="IG107">
            <v>25146.869999999995</v>
          </cell>
        </row>
        <row r="109">
          <cell r="IG109">
            <v>128501.35</v>
          </cell>
        </row>
        <row r="159">
          <cell r="IG159">
            <v>607930</v>
          </cell>
        </row>
        <row r="162">
          <cell r="IG162">
            <v>317605.51</v>
          </cell>
        </row>
        <row r="164">
          <cell r="IG164">
            <v>0</v>
          </cell>
        </row>
        <row r="165">
          <cell r="IG165">
            <v>215071.78</v>
          </cell>
        </row>
        <row r="169">
          <cell r="IG169">
            <v>329336.76</v>
          </cell>
        </row>
        <row r="170">
          <cell r="IG170">
            <v>7000.32</v>
          </cell>
        </row>
        <row r="172">
          <cell r="IG172">
            <v>263367.13</v>
          </cell>
        </row>
        <row r="230">
          <cell r="FR230">
            <v>36.764949999999999</v>
          </cell>
        </row>
        <row r="234">
          <cell r="FR234">
            <v>7313.4227299999984</v>
          </cell>
        </row>
        <row r="235">
          <cell r="FR235">
            <v>1545.25378</v>
          </cell>
        </row>
        <row r="252">
          <cell r="FR252">
            <v>3450.3787845590105</v>
          </cell>
        </row>
        <row r="264">
          <cell r="FR264">
            <v>95.024239999999992</v>
          </cell>
        </row>
        <row r="275">
          <cell r="FR275">
            <v>1077.1613400000001</v>
          </cell>
        </row>
        <row r="276">
          <cell r="FR276">
            <v>2523.0827400000003</v>
          </cell>
        </row>
        <row r="280">
          <cell r="FR280">
            <v>100.32</v>
          </cell>
        </row>
        <row r="282">
          <cell r="FR282">
            <v>364.33</v>
          </cell>
        </row>
        <row r="286">
          <cell r="FR286">
            <v>44.984189999999998</v>
          </cell>
        </row>
        <row r="290">
          <cell r="FR290">
            <v>35.777000000000001</v>
          </cell>
        </row>
        <row r="296">
          <cell r="FR296">
            <v>0</v>
          </cell>
        </row>
        <row r="304">
          <cell r="FR304">
            <v>68.104910000000004</v>
          </cell>
        </row>
        <row r="306">
          <cell r="FR306">
            <v>171.58343999999997</v>
          </cell>
        </row>
        <row r="320">
          <cell r="FR320">
            <v>1.6989799999999999</v>
          </cell>
        </row>
        <row r="324">
          <cell r="FR324">
            <v>8.0088999999999988</v>
          </cell>
        </row>
        <row r="326">
          <cell r="FR326">
            <v>28.497</v>
          </cell>
        </row>
        <row r="328">
          <cell r="FR328">
            <v>382.38862999999998</v>
          </cell>
        </row>
        <row r="330">
          <cell r="FR330">
            <v>0</v>
          </cell>
        </row>
        <row r="335">
          <cell r="FR335">
            <v>0</v>
          </cell>
        </row>
        <row r="336">
          <cell r="FR336">
            <v>0</v>
          </cell>
        </row>
        <row r="348">
          <cell r="FR348">
            <v>10.097290000000001</v>
          </cell>
        </row>
        <row r="354">
          <cell r="FR354">
            <v>1.76589</v>
          </cell>
          <cell r="IG354">
            <v>49.803320000000006</v>
          </cell>
        </row>
        <row r="355">
          <cell r="FR355">
            <v>38.700000000000003</v>
          </cell>
        </row>
        <row r="356">
          <cell r="FR356">
            <v>0</v>
          </cell>
        </row>
        <row r="358">
          <cell r="FR35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R45"/>
  <sheetViews>
    <sheetView topLeftCell="B4" zoomScale="90" zoomScaleNormal="90" workbookViewId="0">
      <selection activeCell="M8" sqref="M8"/>
    </sheetView>
  </sheetViews>
  <sheetFormatPr defaultRowHeight="15"/>
  <cols>
    <col min="1" max="1" width="7.140625" customWidth="1"/>
    <col min="2" max="2" width="37.140625" customWidth="1"/>
    <col min="3" max="3" width="11" customWidth="1"/>
    <col min="4" max="5" width="0" hidden="1" customWidth="1"/>
    <col min="6" max="6" width="13.140625" customWidth="1"/>
    <col min="7" max="7" width="13" customWidth="1"/>
    <col min="8" max="8" width="12.5703125" customWidth="1"/>
    <col min="9" max="9" width="13.42578125" hidden="1" customWidth="1"/>
    <col min="10" max="10" width="12.85546875" customWidth="1"/>
    <col min="11" max="11" width="13.5703125" customWidth="1"/>
    <col min="12" max="12" width="13.42578125" customWidth="1"/>
    <col min="13" max="13" width="14" customWidth="1"/>
    <col min="14" max="14" width="14.5703125" customWidth="1"/>
    <col min="15" max="15" width="13.5703125" customWidth="1"/>
    <col min="16" max="16" width="13.42578125" customWidth="1"/>
    <col min="17" max="17" width="14.28515625" customWidth="1"/>
    <col min="18" max="18" width="21.28515625" customWidth="1"/>
  </cols>
  <sheetData>
    <row r="1" spans="1:18">
      <c r="J1" s="2432">
        <v>-2394.7065017675</v>
      </c>
      <c r="K1" s="2432">
        <v>-3032.850562667707</v>
      </c>
      <c r="L1" s="2432">
        <v>-20764.651708774036</v>
      </c>
      <c r="M1" s="2432">
        <v>2606.7049845518777</v>
      </c>
      <c r="N1" s="2432">
        <v>6993.7566356332973</v>
      </c>
      <c r="O1" s="2432"/>
    </row>
    <row r="2" spans="1:18">
      <c r="B2" s="57" t="s">
        <v>1534</v>
      </c>
      <c r="C2" s="57"/>
      <c r="J2" s="2432">
        <v>8970.3451562000555</v>
      </c>
      <c r="K2" s="2432">
        <v>16215.027220399934</v>
      </c>
      <c r="L2" s="2432">
        <v>15562.273324477952</v>
      </c>
      <c r="M2" s="2432">
        <v>22652.614566665492</v>
      </c>
      <c r="N2" s="2432">
        <v>22614.547506454401</v>
      </c>
      <c r="O2" s="2432"/>
    </row>
    <row r="3" spans="1:18" ht="15.75" thickBot="1">
      <c r="B3" s="3368" t="s">
        <v>1456</v>
      </c>
      <c r="C3" s="3368"/>
      <c r="D3" s="3368"/>
      <c r="E3" s="3368"/>
      <c r="F3" s="3368"/>
      <c r="G3" s="3368"/>
      <c r="H3" s="3368"/>
      <c r="I3" s="3368"/>
      <c r="J3" s="3368"/>
      <c r="K3" s="3368"/>
      <c r="L3" s="3368"/>
      <c r="M3" s="3368"/>
    </row>
    <row r="4" spans="1:18" ht="30.75" thickBot="1">
      <c r="A4" s="3366" t="s">
        <v>0</v>
      </c>
      <c r="B4" s="3366" t="s">
        <v>1</v>
      </c>
      <c r="C4" s="3369" t="s">
        <v>789</v>
      </c>
      <c r="D4" s="3364" t="s">
        <v>1457</v>
      </c>
      <c r="E4" s="3371"/>
      <c r="F4" s="3364" t="s">
        <v>1197</v>
      </c>
      <c r="G4" s="3371"/>
      <c r="H4" s="3364" t="s">
        <v>1458</v>
      </c>
      <c r="I4" s="3371"/>
      <c r="J4" s="2413" t="s">
        <v>1519</v>
      </c>
      <c r="K4" s="2414" t="s">
        <v>1520</v>
      </c>
      <c r="L4" s="3364" t="s">
        <v>1459</v>
      </c>
      <c r="M4" s="3365"/>
      <c r="N4" s="3371"/>
      <c r="O4" s="3364" t="s">
        <v>1460</v>
      </c>
      <c r="P4" s="3365"/>
      <c r="Q4" s="3365"/>
      <c r="R4" s="3366" t="s">
        <v>1061</v>
      </c>
    </row>
    <row r="5" spans="1:18" ht="15.75" thickBot="1">
      <c r="A5" s="3367"/>
      <c r="B5" s="3367"/>
      <c r="C5" s="3370"/>
      <c r="D5" s="2284" t="s">
        <v>5</v>
      </c>
      <c r="E5" s="2284" t="s">
        <v>6</v>
      </c>
      <c r="F5" s="2284" t="s">
        <v>5</v>
      </c>
      <c r="G5" s="2284" t="s">
        <v>6</v>
      </c>
      <c r="H5" s="2284" t="s">
        <v>5</v>
      </c>
      <c r="I5" s="2284" t="s">
        <v>798</v>
      </c>
      <c r="J5" s="2279" t="s">
        <v>6</v>
      </c>
      <c r="K5" s="2279" t="s">
        <v>8</v>
      </c>
      <c r="L5" s="214">
        <v>2016</v>
      </c>
      <c r="M5" s="2284">
        <v>2017</v>
      </c>
      <c r="N5" s="2284">
        <v>2018</v>
      </c>
      <c r="O5" s="214">
        <v>2016</v>
      </c>
      <c r="P5" s="2284">
        <v>2017</v>
      </c>
      <c r="Q5" s="2284">
        <v>2018</v>
      </c>
      <c r="R5" s="3367"/>
    </row>
    <row r="6" spans="1:18">
      <c r="A6" s="2285">
        <v>1</v>
      </c>
      <c r="B6" s="2286" t="s">
        <v>1461</v>
      </c>
      <c r="C6" s="2286" t="s">
        <v>383</v>
      </c>
      <c r="D6" s="2287"/>
      <c r="E6" s="2287"/>
      <c r="F6" s="2288">
        <f>F7+F16+F17+F18+F19+F20</f>
        <v>529982.03383732738</v>
      </c>
      <c r="G6" s="2288">
        <f t="shared" ref="G6:N6" si="0">G7+G16+G17+G18+G19+G20</f>
        <v>675980.02223905327</v>
      </c>
      <c r="H6" s="2288">
        <f t="shared" si="0"/>
        <v>690180.87949608988</v>
      </c>
      <c r="I6" s="2288">
        <f t="shared" si="0"/>
        <v>774944.62154204876</v>
      </c>
      <c r="J6" s="2288">
        <f t="shared" si="0"/>
        <v>335163.56648340804</v>
      </c>
      <c r="K6" s="2288">
        <f t="shared" si="0"/>
        <v>746505.72334069479</v>
      </c>
      <c r="L6" s="2288">
        <f t="shared" si="0"/>
        <v>875526.24418655643</v>
      </c>
      <c r="M6" s="2288">
        <f t="shared" si="0"/>
        <v>799636.7505565082</v>
      </c>
      <c r="N6" s="2288">
        <f t="shared" si="0"/>
        <v>983508.64733549429</v>
      </c>
      <c r="O6" s="2303">
        <f>O7+O16+O17</f>
        <v>707211.31927915046</v>
      </c>
      <c r="P6" s="2303">
        <f t="shared" ref="P6:Q6" si="1">P7+P16+P17</f>
        <v>703384.6625642149</v>
      </c>
      <c r="Q6" s="2303">
        <f t="shared" si="1"/>
        <v>744407.09499982756</v>
      </c>
      <c r="R6" s="2289"/>
    </row>
    <row r="7" spans="1:18">
      <c r="A7" s="2290" t="s">
        <v>10</v>
      </c>
      <c r="B7" s="62" t="s">
        <v>1462</v>
      </c>
      <c r="C7" s="62" t="s">
        <v>383</v>
      </c>
      <c r="D7" s="62"/>
      <c r="E7" s="62"/>
      <c r="F7" s="408">
        <f>F8+F12+F13</f>
        <v>490501.33383732743</v>
      </c>
      <c r="G7" s="408">
        <f t="shared" ref="G7:N7" si="2">G8+G12+G13</f>
        <v>605301.913790475</v>
      </c>
      <c r="H7" s="408">
        <f t="shared" si="2"/>
        <v>616214.17949608993</v>
      </c>
      <c r="I7" s="408">
        <f t="shared" si="2"/>
        <v>678620.47162352887</v>
      </c>
      <c r="J7" s="408">
        <f t="shared" ref="J7:K7" si="3">J8+J12+J13</f>
        <v>300254.71986654052</v>
      </c>
      <c r="K7" s="408">
        <f t="shared" si="3"/>
        <v>657552.05568316299</v>
      </c>
      <c r="L7" s="408">
        <f t="shared" si="2"/>
        <v>761292.72364151187</v>
      </c>
      <c r="M7" s="408">
        <f t="shared" si="2"/>
        <v>653993.93328535382</v>
      </c>
      <c r="N7" s="408">
        <f t="shared" si="2"/>
        <v>809215.73933479108</v>
      </c>
      <c r="O7" s="1344">
        <f>O8+O12+O13</f>
        <v>643449.01179415046</v>
      </c>
      <c r="P7" s="1344">
        <f t="shared" ref="P7:Q7" si="4">P8+P12+P13</f>
        <v>648394.94268780493</v>
      </c>
      <c r="Q7" s="1344">
        <f t="shared" si="4"/>
        <v>666428.15258136706</v>
      </c>
      <c r="R7" s="998"/>
    </row>
    <row r="8" spans="1:18">
      <c r="A8" s="1045" t="s">
        <v>12</v>
      </c>
      <c r="B8" s="1" t="s">
        <v>1429</v>
      </c>
      <c r="C8" s="1" t="s">
        <v>383</v>
      </c>
      <c r="D8" s="1"/>
      <c r="E8" s="1"/>
      <c r="F8" s="416">
        <f>'[6]Базовый уровень опер.расх.ВС '!D25</f>
        <v>360588.20904060424</v>
      </c>
      <c r="G8" s="416">
        <f>'[6]Базовый уровень опер.расх.ВС '!E25</f>
        <v>459878.96098335489</v>
      </c>
      <c r="H8" s="416">
        <f>'[6]Базовый уровень опер.расх.ВС '!F25</f>
        <v>446846.20703100995</v>
      </c>
      <c r="I8" s="416">
        <f>'[6]Базовый уровень опер.расх.ВС '!G25</f>
        <v>518264.4150736992</v>
      </c>
      <c r="J8" s="416">
        <f>'Базовый уровень опер.расх.ВС '!H24</f>
        <v>219756.36269985404</v>
      </c>
      <c r="K8" s="416">
        <f>'Базовый уровень опер.расх.ВС '!I24</f>
        <v>480003.60970568174</v>
      </c>
      <c r="L8" s="416">
        <f>'Базовый уровень опер.расх.ВС '!J24</f>
        <v>567286.64966421365</v>
      </c>
      <c r="M8" s="416">
        <f>'Базовый уровень опер.расх.ВС '!K24</f>
        <v>462154.92801828298</v>
      </c>
      <c r="N8" s="416">
        <v>592100.51</v>
      </c>
      <c r="O8" s="1344">
        <f>'Базовый уровень опер.расх.ВС '!K7</f>
        <v>462154.92801828298</v>
      </c>
      <c r="P8" s="1344">
        <f>O8*(1-P9)*(1+P10)*(1+P11)</f>
        <v>469429.24658529076</v>
      </c>
      <c r="Q8" s="1344">
        <f>P8*(1-Q9)*(1+Q10)*(1+Q11)</f>
        <v>476818.06292654324</v>
      </c>
      <c r="R8" s="998"/>
    </row>
    <row r="9" spans="1:18">
      <c r="A9" s="1037" t="s">
        <v>1463</v>
      </c>
      <c r="B9" s="2291" t="s">
        <v>1464</v>
      </c>
      <c r="C9" s="1" t="s">
        <v>383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>
        <v>0.01</v>
      </c>
      <c r="Q9" s="1">
        <v>0.01</v>
      </c>
      <c r="R9" s="998"/>
    </row>
    <row r="10" spans="1:18">
      <c r="A10" s="1037" t="s">
        <v>1465</v>
      </c>
      <c r="B10" s="2291" t="s">
        <v>1466</v>
      </c>
      <c r="C10" s="1" t="s">
        <v>383</v>
      </c>
      <c r="D10" s="1"/>
      <c r="E10" s="1"/>
      <c r="F10" s="1"/>
      <c r="G10" s="1"/>
      <c r="H10" s="1"/>
      <c r="I10" s="1"/>
      <c r="J10" s="1"/>
      <c r="K10" s="1"/>
      <c r="L10" s="1"/>
      <c r="M10" s="1">
        <f>M8/L8</f>
        <v>0.81467619287681126</v>
      </c>
      <c r="N10" s="1">
        <f>N8/M8</f>
        <v>1.2811732042735597</v>
      </c>
      <c r="O10" s="1"/>
      <c r="P10" s="1">
        <v>2.5999999999999999E-2</v>
      </c>
      <c r="Q10" s="1">
        <v>2.5999999999999999E-2</v>
      </c>
      <c r="R10" s="998"/>
    </row>
    <row r="11" spans="1:18">
      <c r="A11" s="1037" t="s">
        <v>1467</v>
      </c>
      <c r="B11" s="2291" t="s">
        <v>1468</v>
      </c>
      <c r="C11" s="1" t="s">
        <v>383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v>0</v>
      </c>
      <c r="Q11" s="1">
        <v>0</v>
      </c>
      <c r="R11" s="998"/>
    </row>
    <row r="12" spans="1:18">
      <c r="A12" s="1045" t="s">
        <v>14</v>
      </c>
      <c r="B12" s="1" t="s">
        <v>1469</v>
      </c>
      <c r="C12" s="1" t="s">
        <v>383</v>
      </c>
      <c r="D12" s="1"/>
      <c r="E12" s="1"/>
      <c r="F12" s="1344">
        <f>'[6]Смета ВС_2016'!D16</f>
        <v>87032.799999999988</v>
      </c>
      <c r="G12" s="1344">
        <f>'[6]Смета ВС_2016'!E16</f>
        <v>85452.684260000009</v>
      </c>
      <c r="H12" s="1344">
        <f>'[6]Смета ВС_2016'!F16</f>
        <v>99221.139540000004</v>
      </c>
      <c r="I12" s="1344">
        <f>'[6]Смета ВС_2016'!G16</f>
        <v>85402.459593000007</v>
      </c>
      <c r="J12" s="1344">
        <f>'Смета ВС_2016'!H16</f>
        <v>43117.899999999994</v>
      </c>
      <c r="K12" s="1344">
        <f>'Смета ВС_2016'!I16</f>
        <v>95641.9</v>
      </c>
      <c r="L12" s="1344">
        <f>'Смета ВС_2016'!J16</f>
        <v>99503.809000000008</v>
      </c>
      <c r="M12" s="1344">
        <f>'Смета ВС_2016'!K16</f>
        <v>104777.511</v>
      </c>
      <c r="N12" s="1344">
        <f>'Смета ВС_2016'!L16</f>
        <v>110330.72</v>
      </c>
      <c r="O12" s="416">
        <f>'расшифровки ВС_2016'!M154</f>
        <v>96985.115341571465</v>
      </c>
      <c r="P12" s="416">
        <f>'расшифровки ВС_2016'!N154</f>
        <v>103386.13295411518</v>
      </c>
      <c r="Q12" s="416">
        <f>'расшифровки ВС_2016'!O154</f>
        <v>110313.00386204089</v>
      </c>
      <c r="R12" s="998"/>
    </row>
    <row r="13" spans="1:18" ht="28.5" customHeight="1">
      <c r="A13" s="1045" t="s">
        <v>16</v>
      </c>
      <c r="B13" s="34" t="s">
        <v>1470</v>
      </c>
      <c r="C13" s="1" t="s">
        <v>383</v>
      </c>
      <c r="D13" s="1"/>
      <c r="E13" s="1"/>
      <c r="F13" s="1344">
        <f>'[6]Неподконтрольные расходы ВС'!D36</f>
        <v>42880.324796723195</v>
      </c>
      <c r="G13" s="1344">
        <f>'[6]Неподконтрольные расходы ВС'!E36</f>
        <v>59970.268547120191</v>
      </c>
      <c r="H13" s="1344">
        <f>'[6]Неподконтрольные расходы ВС'!F36</f>
        <v>70146.832925079987</v>
      </c>
      <c r="I13" s="1344">
        <f>'[6]Неподконтрольные расходы ВС'!G36</f>
        <v>74953.596956829657</v>
      </c>
      <c r="J13" s="1344">
        <f>'Неподконтрольные расходы ВС'!H36</f>
        <v>37380.457166686479</v>
      </c>
      <c r="K13" s="1344">
        <f>'Неподконтрольные расходы ВС'!I36</f>
        <v>81906.545977481277</v>
      </c>
      <c r="L13" s="1344">
        <f>'Неподконтрольные расходы ВС'!J36</f>
        <v>94502.264977298182</v>
      </c>
      <c r="M13" s="1344">
        <f>'Неподконтрольные расходы ВС'!K36</f>
        <v>87061.494267070811</v>
      </c>
      <c r="N13" s="1344">
        <f>'Неподконтрольные расходы ВС'!L36</f>
        <v>106784.50933479113</v>
      </c>
      <c r="O13" s="1344">
        <f>'Неподконтрольные расходы ВС'!M36</f>
        <v>84308.968434295995</v>
      </c>
      <c r="P13" s="1344">
        <f>'Неподконтрольные расходы ВС'!N36</f>
        <v>75579.563148398956</v>
      </c>
      <c r="Q13" s="1344">
        <f>'Неподконтрольные расходы ВС'!O36</f>
        <v>79297.085792782949</v>
      </c>
      <c r="R13" s="998"/>
    </row>
    <row r="14" spans="1:18">
      <c r="A14" s="1037" t="s">
        <v>1437</v>
      </c>
      <c r="B14" s="92" t="s">
        <v>1471</v>
      </c>
      <c r="C14" s="1" t="s">
        <v>383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998"/>
    </row>
    <row r="15" spans="1:18">
      <c r="A15" s="1037" t="s">
        <v>1472</v>
      </c>
      <c r="B15" s="92" t="s">
        <v>1473</v>
      </c>
      <c r="C15" s="1" t="s">
        <v>383</v>
      </c>
      <c r="D15" s="1"/>
      <c r="E15" s="1"/>
      <c r="F15" s="1344">
        <f>'[6]Смета ВС_2016'!D25</f>
        <v>7134.3047967231996</v>
      </c>
      <c r="G15" s="1344">
        <f>'[6]Смета ВС_2016'!E25</f>
        <v>6593.4003141701987</v>
      </c>
      <c r="H15" s="1344">
        <f>'[6]Смета ВС_2016'!F25</f>
        <v>15270.548474879999</v>
      </c>
      <c r="I15" s="1344">
        <f>'[6]Смета ВС_2016'!G25</f>
        <v>18865.194651292681</v>
      </c>
      <c r="J15" s="1344">
        <f>'Неподконтрольные расходы ВС'!H35</f>
        <v>7796.6153129269987</v>
      </c>
      <c r="K15" s="1344">
        <f>'Неподконтрольные расходы ВС'!I35</f>
        <v>14224.503886774455</v>
      </c>
      <c r="L15" s="1344">
        <f>'Неподконтрольные расходы ВС'!J35</f>
        <v>24529.93735</v>
      </c>
      <c r="M15" s="1344">
        <f>'Неподконтрольные расходы ВС'!K35</f>
        <v>11084.6847375</v>
      </c>
      <c r="N15" s="1344">
        <f>'Неподконтрольные расходы ВС'!L35</f>
        <v>5542.3423687499999</v>
      </c>
      <c r="O15" s="416">
        <f>'Неподконтрольные расходы ВС'!M35</f>
        <v>22829.93735</v>
      </c>
      <c r="P15" s="416">
        <f>'Неподконтрольные расходы ВС'!N35</f>
        <v>12784.6847375</v>
      </c>
      <c r="Q15" s="416">
        <f>'Неподконтрольные расходы ВС'!O35</f>
        <v>5542.3423687499999</v>
      </c>
      <c r="R15" s="998"/>
    </row>
    <row r="16" spans="1:18">
      <c r="A16" s="1045" t="s">
        <v>18</v>
      </c>
      <c r="B16" s="1" t="s">
        <v>104</v>
      </c>
      <c r="C16" s="1" t="s">
        <v>383</v>
      </c>
      <c r="D16" s="1"/>
      <c r="E16" s="1"/>
      <c r="F16" s="1344">
        <f>'[6]расшифровки ВС_2016'!D378+'[6]расшифровки ВС_2016'!D379+'[6]расшифровки ВС_2016'!D380</f>
        <v>34140.699999999997</v>
      </c>
      <c r="G16" s="1344">
        <f>'[6]расшифровки ВС_2016'!E378+'[6]расшифровки ВС_2016'!E379+'[6]расшифровки ВС_2016'!E380</f>
        <v>28576.016</v>
      </c>
      <c r="H16" s="1344">
        <f>'[6]расшифровки ВС_2016'!F378+'[6]расшифровки ВС_2016'!F379+'[6]расшифровки ВС_2016'!F380</f>
        <v>31730.7</v>
      </c>
      <c r="I16" s="1344">
        <f>'[6]расшифровки ВС_2016'!G378+'[6]расшифровки ВС_2016'!G379+'[6]расшифровки ВС_2016'!G380</f>
        <v>45275.609761199994</v>
      </c>
      <c r="J16" s="1344">
        <f>'расшифровки ВС_2016'!H383</f>
        <v>23972.544000000002</v>
      </c>
      <c r="K16" s="1344">
        <f>'расшифровки ВС_2016'!I383</f>
        <v>46399.802868000006</v>
      </c>
      <c r="L16" s="1344">
        <f>'расшифровки ВС_2016'!J383</f>
        <v>49382.527179999997</v>
      </c>
      <c r="M16" s="1344">
        <f>'расшифровки ВС_2016'!K383</f>
        <v>79551.492860000013</v>
      </c>
      <c r="N16" s="1344">
        <f>'расшифровки ВС_2016'!L383</f>
        <v>106360.61016</v>
      </c>
      <c r="O16" s="416">
        <f>'расшифровки ВС_2016'!M395</f>
        <v>49381.307484999998</v>
      </c>
      <c r="P16" s="416">
        <f>'расшифровки ВС_2016'!N395</f>
        <v>50891.719876410003</v>
      </c>
      <c r="Q16" s="416">
        <f>'расшифровки ВС_2016'!O395</f>
        <v>52595.942418460501</v>
      </c>
      <c r="R16" s="998"/>
    </row>
    <row r="17" spans="1:18">
      <c r="A17" s="1045" t="s">
        <v>30</v>
      </c>
      <c r="B17" s="1" t="s">
        <v>131</v>
      </c>
      <c r="C17" s="1" t="s">
        <v>383</v>
      </c>
      <c r="D17" s="1"/>
      <c r="E17" s="1"/>
      <c r="F17" s="1344">
        <f>F19+F20</f>
        <v>2670</v>
      </c>
      <c r="G17" s="1344">
        <f t="shared" ref="G17:I17" si="5">G19+G20</f>
        <v>21051.046224289144</v>
      </c>
      <c r="H17" s="1344">
        <f t="shared" si="5"/>
        <v>21118</v>
      </c>
      <c r="I17" s="1344">
        <f t="shared" si="5"/>
        <v>25524.270078659923</v>
      </c>
      <c r="J17" s="1344">
        <f>'Смета ВС_2016'!H92</f>
        <v>9661.3026168675333</v>
      </c>
      <c r="K17" s="1344">
        <f>'Смета ВС_2016'!I92</f>
        <v>21525.512789531887</v>
      </c>
      <c r="L17" s="1344">
        <f>'Смета ВС_2016'!J92</f>
        <v>25437.284960044621</v>
      </c>
      <c r="M17" s="1344">
        <f>'Смета ВС_2016'!K92</f>
        <v>26571.964429739426</v>
      </c>
      <c r="N17" s="1344">
        <f>'Смета ВС_2016'!L92</f>
        <v>28302.743265087382</v>
      </c>
      <c r="O17" s="2612">
        <f>4381+10000</f>
        <v>14381</v>
      </c>
      <c r="P17" s="2612">
        <v>4098</v>
      </c>
      <c r="Q17" s="2612">
        <v>25383</v>
      </c>
      <c r="R17" s="998"/>
    </row>
    <row r="18" spans="1:18" ht="30">
      <c r="A18" s="1045"/>
      <c r="B18" s="471" t="s">
        <v>1539</v>
      </c>
      <c r="C18" s="70"/>
      <c r="D18" s="70"/>
      <c r="E18" s="70"/>
      <c r="F18" s="2446"/>
      <c r="G18" s="2446"/>
      <c r="H18" s="2446"/>
      <c r="I18" s="2446"/>
      <c r="J18" s="2446"/>
      <c r="K18" s="2446">
        <f>22263.075/2+14693.629/2</f>
        <v>18478.351999999999</v>
      </c>
      <c r="L18" s="2446">
        <f>22263.075+14693.62</f>
        <v>36956.695</v>
      </c>
      <c r="M18" s="2446">
        <f>L18</f>
        <v>36956.695</v>
      </c>
      <c r="N18" s="2446">
        <f>M18</f>
        <v>36956.695</v>
      </c>
      <c r="O18" s="1"/>
      <c r="P18" s="1"/>
      <c r="Q18" s="1"/>
      <c r="R18" s="998"/>
    </row>
    <row r="19" spans="1:18">
      <c r="A19" s="1045" t="s">
        <v>396</v>
      </c>
      <c r="B19" s="92" t="s">
        <v>1474</v>
      </c>
      <c r="C19" s="1" t="s">
        <v>383</v>
      </c>
      <c r="D19" s="1"/>
      <c r="E19" s="1"/>
      <c r="F19" s="1"/>
      <c r="G19" s="1344">
        <v>18699.837224289146</v>
      </c>
      <c r="H19" s="1344">
        <v>18600</v>
      </c>
      <c r="I19" s="1344">
        <v>23173.061078659925</v>
      </c>
      <c r="J19" s="1344">
        <v>0</v>
      </c>
      <c r="K19" s="1344"/>
      <c r="L19" s="1344"/>
      <c r="M19" s="1344"/>
      <c r="N19" s="1344"/>
      <c r="O19" s="1"/>
      <c r="P19" s="1"/>
      <c r="Q19" s="1"/>
      <c r="R19" s="998"/>
    </row>
    <row r="20" spans="1:18" ht="39.75" customHeight="1">
      <c r="A20" s="1045" t="s">
        <v>397</v>
      </c>
      <c r="B20" s="2911" t="s">
        <v>1475</v>
      </c>
      <c r="C20" s="1" t="s">
        <v>383</v>
      </c>
      <c r="D20" s="1"/>
      <c r="E20" s="1"/>
      <c r="F20" s="1344">
        <f>'[6]Смета ВС_2016'!D85</f>
        <v>2670</v>
      </c>
      <c r="G20" s="1344">
        <f>'[6]Смета ВС_2016'!E85</f>
        <v>2351.2089999999998</v>
      </c>
      <c r="H20" s="1344">
        <f>'[6]Смета ВС_2016'!F85</f>
        <v>2518</v>
      </c>
      <c r="I20" s="1344">
        <f>'[6]Смета ВС_2016'!G85</f>
        <v>2351.2089999999998</v>
      </c>
      <c r="J20" s="1344">
        <f>'Смета ВС_2016'!H90</f>
        <v>1275</v>
      </c>
      <c r="K20" s="1344">
        <f>'Смета ВС_2016'!I90</f>
        <v>2550</v>
      </c>
      <c r="L20" s="1344">
        <f>'Смета ВС_2016'!J90</f>
        <v>2457.0134049999997</v>
      </c>
      <c r="M20" s="1344">
        <f>'Смета ВС_2016'!K90</f>
        <v>2562.6649814149996</v>
      </c>
      <c r="N20" s="1344">
        <f>'Смета ВС_2016'!L90</f>
        <v>2672.8595756158443</v>
      </c>
      <c r="O20" s="2607">
        <v>2460</v>
      </c>
      <c r="P20" s="2607">
        <v>2565</v>
      </c>
      <c r="Q20" s="2607">
        <v>2675</v>
      </c>
      <c r="R20" s="998"/>
    </row>
    <row r="21" spans="1:18">
      <c r="A21" s="1045" t="s">
        <v>1476</v>
      </c>
      <c r="B21" s="92" t="s">
        <v>1477</v>
      </c>
      <c r="C21" s="92" t="s">
        <v>280</v>
      </c>
      <c r="D21" s="1"/>
      <c r="E21" s="1"/>
      <c r="F21" s="2438">
        <f>F17/(F6-F17)*100</f>
        <v>0.5063415641342407</v>
      </c>
      <c r="G21" s="2438">
        <f t="shared" ref="G21:N21" si="6">G17/G6*100</f>
        <v>3.1141521245793062</v>
      </c>
      <c r="H21" s="2438">
        <f t="shared" si="6"/>
        <v>3.0597776072003806</v>
      </c>
      <c r="I21" s="2438">
        <f t="shared" si="6"/>
        <v>3.2936895578253869</v>
      </c>
      <c r="J21" s="2438">
        <f t="shared" si="6"/>
        <v>2.8825634952615911</v>
      </c>
      <c r="K21" s="2438">
        <f t="shared" si="6"/>
        <v>2.8835027135763758</v>
      </c>
      <c r="L21" s="2438">
        <f t="shared" si="6"/>
        <v>2.9053709273647388</v>
      </c>
      <c r="M21" s="2438">
        <f t="shared" si="6"/>
        <v>3.3230044030926087</v>
      </c>
      <c r="N21" s="2438">
        <f t="shared" si="6"/>
        <v>2.8777320201265861</v>
      </c>
      <c r="O21" s="2910">
        <f>O17/(O7+O16)</f>
        <v>2.0756886065498102E-2</v>
      </c>
      <c r="P21" s="2910">
        <f t="shared" ref="P21:Q21" si="7">P17/(P7+P16)</f>
        <v>5.8602576302156833E-3</v>
      </c>
      <c r="Q21" s="2910">
        <f t="shared" si="7"/>
        <v>3.530201585248139E-2</v>
      </c>
      <c r="R21" s="998"/>
    </row>
    <row r="22" spans="1:18" hidden="1">
      <c r="A22" s="2292">
        <v>2</v>
      </c>
      <c r="B22" s="62" t="s">
        <v>1478</v>
      </c>
      <c r="C22" s="62" t="s">
        <v>383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998"/>
    </row>
    <row r="23" spans="1:18" ht="27.75" hidden="1" customHeight="1">
      <c r="A23" s="1045" t="s">
        <v>52</v>
      </c>
      <c r="B23" s="2283" t="s">
        <v>1479</v>
      </c>
      <c r="C23" s="245" t="s">
        <v>383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998"/>
    </row>
    <row r="24" spans="1:18" s="2296" customFormat="1" ht="55.5" hidden="1" customHeight="1">
      <c r="A24" s="2293" t="s">
        <v>54</v>
      </c>
      <c r="B24" s="2431" t="s">
        <v>1480</v>
      </c>
      <c r="C24" s="2294" t="s">
        <v>383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2295"/>
    </row>
    <row r="25" spans="1:18" ht="24.75" hidden="1">
      <c r="A25" s="1045" t="s">
        <v>56</v>
      </c>
      <c r="B25" s="2431" t="s">
        <v>1481</v>
      </c>
      <c r="C25" s="245" t="s">
        <v>383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998"/>
    </row>
    <row r="26" spans="1:18" ht="36" hidden="1" customHeight="1">
      <c r="A26" s="1045" t="s">
        <v>261</v>
      </c>
      <c r="B26" s="2431" t="s">
        <v>1482</v>
      </c>
      <c r="C26" s="245" t="s">
        <v>383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998"/>
    </row>
    <row r="27" spans="1:18" ht="26.25" hidden="1" customHeight="1">
      <c r="A27" s="1045" t="s">
        <v>262</v>
      </c>
      <c r="B27" s="2431" t="s">
        <v>1483</v>
      </c>
      <c r="C27" s="245" t="s">
        <v>383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998"/>
    </row>
    <row r="28" spans="1:18" ht="29.25" hidden="1" customHeight="1">
      <c r="A28" s="1045" t="s">
        <v>292</v>
      </c>
      <c r="B28" s="2283" t="s">
        <v>1484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998"/>
    </row>
    <row r="29" spans="1:18" ht="29.25" customHeight="1">
      <c r="A29" s="1045"/>
      <c r="B29" s="2912" t="s">
        <v>1735</v>
      </c>
      <c r="C29" s="2913"/>
      <c r="D29" s="2913"/>
      <c r="E29" s="2913"/>
      <c r="F29" s="2913"/>
      <c r="G29" s="2913"/>
      <c r="H29" s="2913"/>
      <c r="I29" s="2913"/>
      <c r="J29" s="2913"/>
      <c r="K29" s="2913"/>
      <c r="L29" s="2913"/>
      <c r="M29" s="2913"/>
      <c r="N29" s="2913"/>
      <c r="O29" s="2915">
        <f>'расшифровки ВС_2016'!M470</f>
        <v>-45021.921999999984</v>
      </c>
      <c r="P29" s="2913"/>
      <c r="Q29" s="2913"/>
      <c r="R29" s="2914"/>
    </row>
    <row r="30" spans="1:18" ht="18.75" customHeight="1">
      <c r="A30" s="2290" t="s">
        <v>62</v>
      </c>
      <c r="B30" s="62" t="s">
        <v>1485</v>
      </c>
      <c r="C30" s="62" t="s">
        <v>164</v>
      </c>
      <c r="D30" s="1"/>
      <c r="E30" s="1"/>
      <c r="F30" s="2297">
        <f t="shared" ref="F30:N30" si="8">F6+F22</f>
        <v>529982.03383732738</v>
      </c>
      <c r="G30" s="2297">
        <f t="shared" si="8"/>
        <v>675980.02223905327</v>
      </c>
      <c r="H30" s="2297">
        <f t="shared" si="8"/>
        <v>690180.87949608988</v>
      </c>
      <c r="I30" s="2297">
        <f t="shared" si="8"/>
        <v>774944.62154204876</v>
      </c>
      <c r="J30" s="2297">
        <f t="shared" si="8"/>
        <v>335163.56648340804</v>
      </c>
      <c r="K30" s="2297">
        <f t="shared" si="8"/>
        <v>746505.72334069479</v>
      </c>
      <c r="L30" s="2297">
        <f t="shared" si="8"/>
        <v>875526.24418655643</v>
      </c>
      <c r="M30" s="2297">
        <f t="shared" si="8"/>
        <v>799636.7505565082</v>
      </c>
      <c r="N30" s="2297">
        <f t="shared" si="8"/>
        <v>983508.64733549429</v>
      </c>
      <c r="O30" s="1344">
        <f>O6+O29</f>
        <v>662189.39727915043</v>
      </c>
      <c r="P30" s="1344">
        <f t="shared" ref="P30:Q30" si="9">P6+P29</f>
        <v>703384.6625642149</v>
      </c>
      <c r="Q30" s="1344">
        <f t="shared" si="9"/>
        <v>744407.09499982756</v>
      </c>
      <c r="R30" s="998"/>
    </row>
    <row r="31" spans="1:18" ht="15.75" customHeight="1">
      <c r="A31" s="2290" t="s">
        <v>99</v>
      </c>
      <c r="B31" s="229" t="s">
        <v>1486</v>
      </c>
      <c r="C31" s="1" t="s">
        <v>1487</v>
      </c>
      <c r="D31" s="1"/>
      <c r="E31" s="1"/>
      <c r="F31" s="2298">
        <f>F30/F32</f>
        <v>12.42072517082773</v>
      </c>
      <c r="G31" s="1129">
        <f t="shared" ref="G31:N31" si="10">G30/G32</f>
        <v>18.871843116050393</v>
      </c>
      <c r="H31" s="1129">
        <f t="shared" si="10"/>
        <v>17.012448455834488</v>
      </c>
      <c r="I31" s="1129">
        <f t="shared" si="10"/>
        <v>22.214614865421378</v>
      </c>
      <c r="J31" s="1129">
        <f t="shared" ref="J31:K31" si="11">J30/J32</f>
        <v>19.21564287144605</v>
      </c>
      <c r="K31" s="1129">
        <f t="shared" si="11"/>
        <v>21.398770070063446</v>
      </c>
      <c r="L31" s="1129">
        <f t="shared" si="10"/>
        <v>24.669095882803596</v>
      </c>
      <c r="M31" s="1129">
        <f t="shared" si="10"/>
        <v>22.728814741002854</v>
      </c>
      <c r="N31" s="1129">
        <f t="shared" si="10"/>
        <v>27.48144501380024</v>
      </c>
      <c r="O31" s="1344">
        <f>O30/O32</f>
        <v>16.245211138308534</v>
      </c>
      <c r="P31" s="1344">
        <f t="shared" ref="P31:Q31" si="12">P30/P32</f>
        <v>17.045485435494591</v>
      </c>
      <c r="Q31" s="1344">
        <f t="shared" si="12"/>
        <v>17.919062046124004</v>
      </c>
      <c r="R31" s="998"/>
    </row>
    <row r="32" spans="1:18">
      <c r="A32" s="2290" t="s">
        <v>221</v>
      </c>
      <c r="B32" s="62" t="s">
        <v>1488</v>
      </c>
      <c r="C32" s="245" t="s">
        <v>1489</v>
      </c>
      <c r="D32" s="1"/>
      <c r="E32" s="1"/>
      <c r="F32" s="1129">
        <f>'[6]Смета ВС_2016'!D101</f>
        <v>42669.17</v>
      </c>
      <c r="G32" s="1129">
        <f>'[6]Смета ВС_2016'!E101</f>
        <v>35819.502</v>
      </c>
      <c r="H32" s="1129">
        <f>'[6]Смета ВС_2016'!F101</f>
        <v>40569.167999999998</v>
      </c>
      <c r="I32" s="1129">
        <f>'[6]Смета ВС_2016'!G101</f>
        <v>34884.449999999997</v>
      </c>
      <c r="J32" s="1129">
        <f>'Смета ВС_2016'!H106</f>
        <v>17442.224999999999</v>
      </c>
      <c r="K32" s="1129">
        <f>'Смета ВС_2016'!I106</f>
        <v>34885.449999999997</v>
      </c>
      <c r="L32" s="1129">
        <f>'Смета ВС_2016'!J106</f>
        <v>35490.811999999998</v>
      </c>
      <c r="M32" s="1129">
        <f>'Смета ВС_2016'!K106</f>
        <v>35181.629999999997</v>
      </c>
      <c r="N32" s="1129">
        <f>'Смета ВС_2016'!L106</f>
        <v>35788.097999999998</v>
      </c>
      <c r="O32" s="1">
        <f>'Баланс ВС_2016 (2)'!O48</f>
        <v>40762.129321767512</v>
      </c>
      <c r="P32" s="1">
        <f>'Баланс ВС_2016 (2)'!P48</f>
        <v>41265.158755732766</v>
      </c>
      <c r="Q32" s="1">
        <f>'Баланс ВС_2016 (2)'!Q48</f>
        <v>41542.748894094439</v>
      </c>
      <c r="R32" s="998"/>
    </row>
    <row r="33" spans="1:18">
      <c r="A33" s="1037">
        <v>6</v>
      </c>
      <c r="B33" s="1" t="s">
        <v>389</v>
      </c>
      <c r="C33" s="92" t="s">
        <v>280</v>
      </c>
      <c r="D33" s="1"/>
      <c r="E33" s="1"/>
      <c r="F33" s="1135"/>
      <c r="G33" s="1129">
        <f>(G31/F31-1)*100</f>
        <v>51.938335777481456</v>
      </c>
      <c r="H33" s="1129"/>
      <c r="I33" s="1129">
        <f t="shared" ref="I33:N33" si="13">(I31/H31-1)*100</f>
        <v>30.578587339101016</v>
      </c>
      <c r="J33" s="1129">
        <v>0</v>
      </c>
      <c r="K33" s="1129">
        <f t="shared" si="13"/>
        <v>11.361197817958345</v>
      </c>
      <c r="L33" s="1129">
        <f>(L31/I31-1)*100</f>
        <v>11.048946975906349</v>
      </c>
      <c r="M33" s="1129">
        <f t="shared" si="13"/>
        <v>-7.8652300474184695</v>
      </c>
      <c r="N33" s="1129">
        <f t="shared" si="13"/>
        <v>20.910154475515299</v>
      </c>
      <c r="O33" s="1"/>
      <c r="P33" s="1"/>
      <c r="Q33" s="1"/>
      <c r="R33" s="998"/>
    </row>
    <row r="34" spans="1:18" ht="15.75" thickBot="1">
      <c r="A34" s="2299"/>
      <c r="B34" s="540"/>
      <c r="C34" s="540"/>
      <c r="D34" s="540"/>
      <c r="E34" s="540"/>
      <c r="F34" s="540"/>
      <c r="G34" s="540"/>
      <c r="H34" s="540"/>
      <c r="I34" s="540"/>
      <c r="J34" s="540"/>
      <c r="K34" s="540"/>
      <c r="L34" s="540"/>
      <c r="M34" s="540"/>
      <c r="N34" s="540"/>
      <c r="O34" s="540"/>
      <c r="P34" s="540"/>
      <c r="Q34" s="540"/>
      <c r="R34" s="1098"/>
    </row>
    <row r="35" spans="1:18">
      <c r="J35" s="1815"/>
      <c r="K35" s="1815"/>
      <c r="L35" s="1815"/>
      <c r="M35" s="1815"/>
      <c r="N35" s="1815"/>
      <c r="O35" s="1815"/>
    </row>
    <row r="36" spans="1:18">
      <c r="J36" s="2433"/>
      <c r="K36" s="2433"/>
      <c r="L36" s="2433"/>
      <c r="M36" s="2433"/>
      <c r="N36" s="2433"/>
      <c r="O36" s="1815"/>
    </row>
    <row r="37" spans="1:18" ht="15.75">
      <c r="J37" s="3378" t="s">
        <v>455</v>
      </c>
      <c r="K37" s="3378" t="s">
        <v>1736</v>
      </c>
      <c r="L37" s="3380" t="s">
        <v>1678</v>
      </c>
      <c r="M37" s="3381"/>
      <c r="N37" s="3380" t="s">
        <v>1679</v>
      </c>
      <c r="O37" s="3381"/>
      <c r="P37" s="3380" t="s">
        <v>1677</v>
      </c>
      <c r="Q37" s="3381"/>
    </row>
    <row r="38" spans="1:18" ht="24.75">
      <c r="J38" s="3379"/>
      <c r="K38" s="3379"/>
      <c r="L38" s="2916" t="s">
        <v>1737</v>
      </c>
      <c r="M38" s="2916" t="s">
        <v>1738</v>
      </c>
      <c r="N38" s="2916" t="s">
        <v>1737</v>
      </c>
      <c r="O38" s="2916" t="s">
        <v>1738</v>
      </c>
      <c r="P38" s="2916" t="s">
        <v>1737</v>
      </c>
      <c r="Q38" s="2916" t="s">
        <v>1738</v>
      </c>
    </row>
    <row r="39" spans="1:18">
      <c r="J39" s="92" t="s">
        <v>1739</v>
      </c>
      <c r="K39" s="1406" t="s">
        <v>1740</v>
      </c>
      <c r="L39" s="2917">
        <f>O32/2</f>
        <v>20381.064660883756</v>
      </c>
      <c r="M39" s="2918">
        <f>O32-L39</f>
        <v>20381.064660883756</v>
      </c>
      <c r="N39" s="2918">
        <f>P32/2</f>
        <v>20632.579377866383</v>
      </c>
      <c r="O39" s="2918">
        <f>P32-N39</f>
        <v>20632.579377866383</v>
      </c>
      <c r="P39" s="2919">
        <f>Q32/2</f>
        <v>20771.374447047219</v>
      </c>
      <c r="Q39" s="2612">
        <f>Q32-P39</f>
        <v>20771.374447047219</v>
      </c>
    </row>
    <row r="40" spans="1:18">
      <c r="J40" s="92" t="s">
        <v>1741</v>
      </c>
      <c r="K40" s="1406" t="s">
        <v>143</v>
      </c>
      <c r="L40" s="2612">
        <v>15.93</v>
      </c>
      <c r="M40" s="3088">
        <f>M41/M39</f>
        <v>16.560422276617064</v>
      </c>
      <c r="N40" s="2612">
        <v>16.559999999999999</v>
      </c>
      <c r="O40" s="2612">
        <f>O41/O39</f>
        <v>17.530970870989183</v>
      </c>
      <c r="P40" s="2612">
        <v>17.53</v>
      </c>
      <c r="Q40" s="2612">
        <f>Q41/Q39</f>
        <v>18.308124092248008</v>
      </c>
    </row>
    <row r="41" spans="1:18">
      <c r="J41" s="92" t="s">
        <v>1742</v>
      </c>
      <c r="K41" s="1406" t="s">
        <v>32</v>
      </c>
      <c r="L41" s="1297">
        <f>L39*L40</f>
        <v>324670.36004787823</v>
      </c>
      <c r="M41" s="2612">
        <f>O30-L41</f>
        <v>337519.0372312722</v>
      </c>
      <c r="N41" s="2612">
        <f>N39*N40</f>
        <v>341675.51449746726</v>
      </c>
      <c r="O41" s="2612">
        <f>P30-N41</f>
        <v>361709.14806674764</v>
      </c>
      <c r="P41" s="2612">
        <f>P39*P40</f>
        <v>364122.19405673776</v>
      </c>
      <c r="Q41" s="2612">
        <f>Q30-P41</f>
        <v>380284.9009430898</v>
      </c>
    </row>
    <row r="42" spans="1:18">
      <c r="J42" s="3372" t="s">
        <v>1743</v>
      </c>
      <c r="K42" s="3373"/>
      <c r="L42" s="3374">
        <f>M40/L40</f>
        <v>1.0395745308610838</v>
      </c>
      <c r="M42" s="3375"/>
      <c r="N42" s="3376">
        <f t="shared" ref="N42" si="14">O40/N40</f>
        <v>1.0586335067022454</v>
      </c>
      <c r="O42" s="3377"/>
      <c r="P42" s="3374">
        <f t="shared" ref="P42" si="15">Q40/P40</f>
        <v>1.0443881398886483</v>
      </c>
      <c r="Q42" s="3375"/>
    </row>
    <row r="43" spans="1:18">
      <c r="J43" s="1815"/>
      <c r="K43" s="1815"/>
      <c r="L43" s="1815"/>
      <c r="M43" s="1815"/>
      <c r="N43" s="1815"/>
      <c r="O43" s="1815"/>
    </row>
    <row r="44" spans="1:18">
      <c r="J44" s="1815"/>
      <c r="K44" s="1815"/>
      <c r="L44" s="1815">
        <v>16.559999999999999</v>
      </c>
      <c r="M44" s="1815"/>
      <c r="N44" s="1815"/>
      <c r="O44" s="1815"/>
    </row>
    <row r="45" spans="1:18">
      <c r="L45">
        <f>L44*M39</f>
        <v>337510.43078423495</v>
      </c>
      <c r="M45" s="2434">
        <f>M41-L45</f>
        <v>8.6064470372512005</v>
      </c>
    </row>
  </sheetData>
  <mergeCells count="19">
    <mergeCell ref="J42:K42"/>
    <mergeCell ref="L42:M42"/>
    <mergeCell ref="N42:O42"/>
    <mergeCell ref="P42:Q42"/>
    <mergeCell ref="J37:J38"/>
    <mergeCell ref="K37:K38"/>
    <mergeCell ref="L37:M37"/>
    <mergeCell ref="N37:O37"/>
    <mergeCell ref="P37:Q37"/>
    <mergeCell ref="O4:Q4"/>
    <mergeCell ref="R4:R5"/>
    <mergeCell ref="B3:M3"/>
    <mergeCell ref="A4:A5"/>
    <mergeCell ref="B4:B5"/>
    <mergeCell ref="C4:C5"/>
    <mergeCell ref="D4:E4"/>
    <mergeCell ref="F4:G4"/>
    <mergeCell ref="H4:I4"/>
    <mergeCell ref="L4:N4"/>
  </mergeCells>
  <pageMargins left="0.23622047244094491" right="0.23622047244094491" top="0.74803149606299213" bottom="0.74803149606299213" header="0.31496062992125984" footer="0.31496062992125984"/>
  <pageSetup paperSize="9"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O49"/>
  <sheetViews>
    <sheetView zoomScale="75" zoomScaleNormal="75" zoomScaleSheetLayoutView="85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6" sqref="A6:O40"/>
    </sheetView>
  </sheetViews>
  <sheetFormatPr defaultRowHeight="15"/>
  <cols>
    <col min="1" max="1" width="6.85546875" style="2776" bestFit="1" customWidth="1"/>
    <col min="2" max="2" width="58.140625" style="2776" customWidth="1"/>
    <col min="3" max="3" width="14.28515625" style="2776" customWidth="1"/>
    <col min="4" max="4" width="14.42578125" style="2776" customWidth="1"/>
    <col min="5" max="5" width="16" style="2776" customWidth="1"/>
    <col min="6" max="6" width="14.140625" style="2776" customWidth="1"/>
    <col min="7" max="7" width="15.85546875" style="2776" customWidth="1"/>
    <col min="8" max="8" width="17.28515625" style="2776" customWidth="1"/>
    <col min="9" max="9" width="16.28515625" style="2776" customWidth="1"/>
    <col min="10" max="10" width="16.140625" style="2776" customWidth="1"/>
    <col min="11" max="11" width="56.140625" style="2776" hidden="1" customWidth="1"/>
    <col min="12" max="12" width="14.140625" style="2776" customWidth="1"/>
    <col min="13" max="13" width="12.140625" style="2776" customWidth="1"/>
    <col min="14" max="14" width="13.5703125" style="2776" customWidth="1"/>
    <col min="15" max="15" width="21.140625" style="2776" customWidth="1"/>
    <col min="16" max="16384" width="9.140625" style="2776"/>
  </cols>
  <sheetData>
    <row r="1" spans="1:15" ht="15.75">
      <c r="D1" s="2777"/>
      <c r="E1" s="2777"/>
      <c r="F1" s="2777"/>
      <c r="G1" s="2777"/>
      <c r="H1" s="2777"/>
      <c r="I1" s="2777"/>
      <c r="J1" s="2777" t="s">
        <v>785</v>
      </c>
    </row>
    <row r="2" spans="1:15" ht="15.75">
      <c r="D2" s="2777"/>
      <c r="E2" s="2777"/>
      <c r="F2" s="2777"/>
      <c r="G2" s="2777"/>
      <c r="H2" s="2777"/>
      <c r="I2" s="2777"/>
      <c r="J2" s="2777" t="s">
        <v>786</v>
      </c>
    </row>
    <row r="3" spans="1:15" ht="15.75">
      <c r="D3" s="2777"/>
      <c r="E3" s="2777"/>
      <c r="F3" s="2777"/>
      <c r="G3" s="2777"/>
      <c r="H3" s="2777"/>
      <c r="I3" s="2777"/>
      <c r="J3" s="2777" t="s">
        <v>294</v>
      </c>
    </row>
    <row r="4" spans="1:15" ht="15.75">
      <c r="D4" s="2777"/>
      <c r="E4" s="2777"/>
      <c r="F4" s="2777"/>
      <c r="G4" s="2777"/>
      <c r="H4" s="2777"/>
      <c r="I4" s="2777"/>
      <c r="J4" s="2777" t="s">
        <v>787</v>
      </c>
    </row>
    <row r="5" spans="1:15" ht="8.25" customHeight="1">
      <c r="A5" s="2778"/>
      <c r="E5" s="2779"/>
    </row>
    <row r="6" spans="1:15" ht="15.75">
      <c r="A6" s="3514" t="s">
        <v>788</v>
      </c>
      <c r="B6" s="3514"/>
      <c r="C6" s="3514"/>
      <c r="D6" s="3514"/>
      <c r="E6" s="3514"/>
      <c r="F6" s="3514"/>
      <c r="G6" s="3514"/>
      <c r="H6" s="3514"/>
      <c r="I6" s="3514"/>
      <c r="J6" s="3514"/>
    </row>
    <row r="7" spans="1:15" ht="9" customHeight="1" thickBot="1">
      <c r="A7" s="2780"/>
      <c r="D7" s="2781"/>
      <c r="E7" s="2781"/>
      <c r="F7" s="2781"/>
      <c r="G7" s="2781"/>
      <c r="H7" s="2781"/>
      <c r="I7" s="2781"/>
      <c r="J7" s="2781"/>
    </row>
    <row r="8" spans="1:15" ht="35.25" customHeight="1" thickBot="1">
      <c r="A8" s="3515" t="s">
        <v>0</v>
      </c>
      <c r="B8" s="3515" t="s">
        <v>1</v>
      </c>
      <c r="C8" s="3515" t="s">
        <v>789</v>
      </c>
      <c r="D8" s="3516" t="s">
        <v>1690</v>
      </c>
      <c r="E8" s="3517"/>
      <c r="F8" s="3516" t="s">
        <v>1691</v>
      </c>
      <c r="G8" s="3517"/>
      <c r="H8" s="3518" t="s">
        <v>1692</v>
      </c>
      <c r="I8" s="3518" t="s">
        <v>1693</v>
      </c>
      <c r="J8" s="3518" t="s">
        <v>1694</v>
      </c>
      <c r="L8" s="3511" t="s">
        <v>1757</v>
      </c>
      <c r="M8" s="3512"/>
      <c r="N8" s="3512"/>
      <c r="O8" s="3513"/>
    </row>
    <row r="9" spans="1:15" ht="36" customHeight="1">
      <c r="A9" s="3515"/>
      <c r="B9" s="3515"/>
      <c r="C9" s="3515"/>
      <c r="D9" s="2782" t="s">
        <v>1695</v>
      </c>
      <c r="E9" s="2783" t="s">
        <v>6</v>
      </c>
      <c r="F9" s="2782" t="s">
        <v>1695</v>
      </c>
      <c r="G9" s="2782" t="s">
        <v>798</v>
      </c>
      <c r="H9" s="3518"/>
      <c r="I9" s="3518"/>
      <c r="J9" s="3518"/>
      <c r="L9" s="3030" t="s">
        <v>1678</v>
      </c>
      <c r="M9" s="3031" t="s">
        <v>1679</v>
      </c>
      <c r="N9" s="3031" t="s">
        <v>1677</v>
      </c>
      <c r="O9" s="3032" t="s">
        <v>1061</v>
      </c>
    </row>
    <row r="10" spans="1:15" ht="15.75">
      <c r="A10" s="2784">
        <v>1</v>
      </c>
      <c r="B10" s="2760">
        <v>2</v>
      </c>
      <c r="C10" s="2760">
        <v>3</v>
      </c>
      <c r="D10" s="2760">
        <v>4</v>
      </c>
      <c r="E10" s="2760">
        <v>5</v>
      </c>
      <c r="F10" s="2760">
        <v>6</v>
      </c>
      <c r="G10" s="2760">
        <v>7</v>
      </c>
      <c r="H10" s="2760">
        <v>8</v>
      </c>
      <c r="I10" s="2760">
        <v>9</v>
      </c>
      <c r="J10" s="2760">
        <v>10</v>
      </c>
      <c r="L10" s="2799"/>
      <c r="M10" s="2799"/>
      <c r="N10" s="2799"/>
      <c r="O10" s="2799"/>
    </row>
    <row r="11" spans="1:15" s="2788" customFormat="1" ht="18.75" customHeight="1">
      <c r="A11" s="2785">
        <v>1</v>
      </c>
      <c r="B11" s="2786" t="s">
        <v>799</v>
      </c>
      <c r="C11" s="2787"/>
      <c r="D11" s="2786"/>
      <c r="E11" s="2786"/>
      <c r="F11" s="2786"/>
      <c r="G11" s="2786"/>
      <c r="H11" s="2786"/>
      <c r="I11" s="2786"/>
      <c r="J11" s="2786"/>
      <c r="L11" s="2821"/>
      <c r="M11" s="2821"/>
      <c r="N11" s="2821"/>
      <c r="O11" s="2821"/>
    </row>
    <row r="12" spans="1:15" ht="24" customHeight="1">
      <c r="A12" s="2784" t="s">
        <v>10</v>
      </c>
      <c r="B12" s="2789" t="s">
        <v>800</v>
      </c>
      <c r="C12" s="2790" t="s">
        <v>801</v>
      </c>
      <c r="D12" s="2791">
        <v>48843.7</v>
      </c>
      <c r="E12" s="2792">
        <v>43904.82</v>
      </c>
      <c r="F12" s="2792">
        <v>48985.707000000002</v>
      </c>
      <c r="G12" s="2792">
        <v>42331.974000000002</v>
      </c>
      <c r="H12" s="2792">
        <v>42898.47</v>
      </c>
      <c r="I12" s="2792">
        <v>42598.718999999997</v>
      </c>
      <c r="J12" s="2792">
        <v>43182.115000000005</v>
      </c>
      <c r="L12" s="3034">
        <f>(47771.69+46976.69+46495.6)/3+(6059.03+4300.39+2539.14)/3+(7692.71+7797.69+8336.83)/3-'Баланс ВС_2016 (2)'!O19-'Баланс ВС_2016 (2)'!O34-1770</f>
        <v>53901.839883333334</v>
      </c>
      <c r="M12" s="2799">
        <f>47362+4929+7840-'Баланс ВС_2016 (2)'!P19-'Баланс ВС_2016 (2)'!P34-1780</f>
        <v>54662.452259602695</v>
      </c>
      <c r="N12" s="3037">
        <f>47620+5015+7836-'Баланс ВС_2016 (2)'!Q19+'Баланс ВС_2016 (2)'!Q34-1790</f>
        <v>55143.964040585648</v>
      </c>
      <c r="O12" s="2799"/>
    </row>
    <row r="13" spans="1:15" ht="15.75" customHeight="1">
      <c r="A13" s="2784" t="s">
        <v>12</v>
      </c>
      <c r="B13" s="2793" t="s">
        <v>802</v>
      </c>
      <c r="C13" s="2790" t="s">
        <v>801</v>
      </c>
      <c r="D13" s="2792"/>
      <c r="E13" s="2792">
        <v>43711.873999999996</v>
      </c>
      <c r="F13" s="2792"/>
      <c r="G13" s="2792">
        <v>42149.541000000005</v>
      </c>
      <c r="H13" s="2792">
        <v>42712.862000000001</v>
      </c>
      <c r="I13" s="2792">
        <v>42414.810999999994</v>
      </c>
      <c r="J13" s="2792">
        <v>42996.095000000008</v>
      </c>
      <c r="L13" s="3034"/>
      <c r="M13" s="2799"/>
      <c r="N13" s="2799"/>
      <c r="O13" s="2799"/>
    </row>
    <row r="14" spans="1:15" ht="15.75">
      <c r="A14" s="2784" t="s">
        <v>14</v>
      </c>
      <c r="B14" s="2793" t="s">
        <v>803</v>
      </c>
      <c r="C14" s="2790" t="s">
        <v>801</v>
      </c>
      <c r="D14" s="2792"/>
      <c r="E14" s="2792">
        <v>192.946</v>
      </c>
      <c r="G14" s="2792">
        <v>182.43299999999999</v>
      </c>
      <c r="H14" s="2792">
        <v>185.608</v>
      </c>
      <c r="I14" s="2792">
        <v>183.90799999999999</v>
      </c>
      <c r="J14" s="2792">
        <v>186.02</v>
      </c>
      <c r="L14" s="3034"/>
      <c r="M14" s="2799"/>
      <c r="N14" s="2799"/>
      <c r="O14" s="2799"/>
    </row>
    <row r="15" spans="1:15" ht="23.25" customHeight="1">
      <c r="A15" s="2784" t="s">
        <v>18</v>
      </c>
      <c r="B15" s="2789" t="s">
        <v>804</v>
      </c>
      <c r="C15" s="2790" t="s">
        <v>801</v>
      </c>
      <c r="D15" s="2792">
        <v>48843.7</v>
      </c>
      <c r="E15" s="2792">
        <v>43904.82</v>
      </c>
      <c r="F15" s="2792">
        <v>48985.707000000002</v>
      </c>
      <c r="G15" s="2792">
        <v>42331.973999999995</v>
      </c>
      <c r="H15" s="2792">
        <v>42898.469999999994</v>
      </c>
      <c r="I15" s="2792">
        <v>42598.718999999997</v>
      </c>
      <c r="J15" s="2792">
        <v>43182.114999999998</v>
      </c>
      <c r="L15" s="3034">
        <f>L12</f>
        <v>53901.839883333334</v>
      </c>
      <c r="M15" s="3034">
        <f t="shared" ref="M15:N15" si="0">M12</f>
        <v>54662.452259602695</v>
      </c>
      <c r="N15" s="3034">
        <f t="shared" si="0"/>
        <v>55143.964040585648</v>
      </c>
      <c r="O15" s="2799"/>
    </row>
    <row r="16" spans="1:15" ht="15.75">
      <c r="A16" s="2784" t="s">
        <v>20</v>
      </c>
      <c r="B16" s="2793" t="s">
        <v>805</v>
      </c>
      <c r="C16" s="2790" t="s">
        <v>801</v>
      </c>
      <c r="D16" s="2792">
        <v>24</v>
      </c>
      <c r="E16" s="2792">
        <v>69.025000000000006</v>
      </c>
      <c r="F16" s="2792">
        <v>70.2</v>
      </c>
      <c r="G16" s="2792">
        <v>70.2</v>
      </c>
      <c r="H16" s="2792">
        <v>72.449999999999989</v>
      </c>
      <c r="I16" s="2792">
        <v>74.3</v>
      </c>
      <c r="J16" s="2792">
        <v>76.256</v>
      </c>
      <c r="L16" s="3034">
        <f>H16</f>
        <v>72.449999999999989</v>
      </c>
      <c r="M16" s="3033">
        <f>I16</f>
        <v>74.3</v>
      </c>
      <c r="N16" s="3033">
        <f>J16</f>
        <v>76.256</v>
      </c>
      <c r="O16" s="2799"/>
    </row>
    <row r="17" spans="1:15" ht="15.75">
      <c r="A17" s="2784" t="s">
        <v>24</v>
      </c>
      <c r="B17" s="2793" t="s">
        <v>806</v>
      </c>
      <c r="C17" s="2790" t="s">
        <v>801</v>
      </c>
      <c r="D17" s="2792"/>
      <c r="E17" s="2792">
        <v>11578.77</v>
      </c>
      <c r="F17" s="2792"/>
      <c r="G17" s="2792">
        <v>11580.054999999998</v>
      </c>
      <c r="H17" s="2792">
        <v>11616.814</v>
      </c>
      <c r="I17" s="2792">
        <v>11604.710999999999</v>
      </c>
      <c r="J17" s="2792">
        <v>11614.987999999999</v>
      </c>
      <c r="L17" s="3034">
        <f>L15-L16</f>
        <v>53829.389883333337</v>
      </c>
      <c r="M17" s="3034">
        <f t="shared" ref="M17:N17" si="1">M15-M16</f>
        <v>54588.152259602692</v>
      </c>
      <c r="N17" s="3034">
        <f t="shared" si="1"/>
        <v>55067.708040585647</v>
      </c>
      <c r="O17" s="2799"/>
    </row>
    <row r="18" spans="1:15" s="2798" customFormat="1" ht="15.75">
      <c r="A18" s="2794" t="s">
        <v>191</v>
      </c>
      <c r="B18" s="2795" t="s">
        <v>807</v>
      </c>
      <c r="C18" s="2796" t="s">
        <v>801</v>
      </c>
      <c r="D18" s="2797"/>
      <c r="E18" s="2797">
        <v>226.36799999999999</v>
      </c>
      <c r="F18" s="2797"/>
      <c r="G18" s="2797">
        <v>168.96</v>
      </c>
      <c r="H18" s="2797">
        <v>177.4</v>
      </c>
      <c r="I18" s="2797">
        <v>176.916</v>
      </c>
      <c r="J18" s="2797">
        <v>176.916</v>
      </c>
      <c r="L18" s="3035">
        <f>L17-L19</f>
        <v>45886.979883333333</v>
      </c>
      <c r="M18" s="3035">
        <f t="shared" ref="M18:N18" si="2">M17-M19</f>
        <v>46748.152259602692</v>
      </c>
      <c r="N18" s="3035">
        <f t="shared" si="2"/>
        <v>47231.708040585647</v>
      </c>
      <c r="O18" s="3023"/>
    </row>
    <row r="19" spans="1:15" s="2798" customFormat="1" ht="31.5">
      <c r="A19" s="2794" t="s">
        <v>192</v>
      </c>
      <c r="B19" s="2795" t="s">
        <v>1696</v>
      </c>
      <c r="C19" s="2796" t="s">
        <v>801</v>
      </c>
      <c r="D19" s="2797">
        <v>10716.948</v>
      </c>
      <c r="E19" s="2797">
        <v>11352.402</v>
      </c>
      <c r="F19" s="2797">
        <v>11354.133</v>
      </c>
      <c r="G19" s="2797">
        <v>11411.094999999999</v>
      </c>
      <c r="H19" s="2797">
        <v>11439.414000000001</v>
      </c>
      <c r="I19" s="2797">
        <v>11427.795</v>
      </c>
      <c r="J19" s="2797">
        <v>11438.072</v>
      </c>
      <c r="L19" s="3038">
        <f>L35</f>
        <v>7942.41</v>
      </c>
      <c r="M19" s="3040">
        <v>7840</v>
      </c>
      <c r="N19" s="3040">
        <v>7836</v>
      </c>
      <c r="O19" s="3023"/>
    </row>
    <row r="20" spans="1:15" ht="15.75">
      <c r="A20" s="2784" t="s">
        <v>23</v>
      </c>
      <c r="B20" s="2793" t="s">
        <v>809</v>
      </c>
      <c r="C20" s="2790" t="s">
        <v>801</v>
      </c>
      <c r="D20" s="2792"/>
      <c r="E20" s="2792"/>
      <c r="F20" s="2792"/>
      <c r="G20" s="2792"/>
      <c r="H20" s="2792"/>
      <c r="I20" s="2792"/>
      <c r="J20" s="2792"/>
      <c r="L20" s="2799"/>
      <c r="M20" s="2799"/>
      <c r="N20" s="2799"/>
      <c r="O20" s="2799"/>
    </row>
    <row r="21" spans="1:15" ht="15.75">
      <c r="A21" s="2784" t="s">
        <v>26</v>
      </c>
      <c r="B21" s="2793" t="s">
        <v>810</v>
      </c>
      <c r="C21" s="2790" t="s">
        <v>801</v>
      </c>
      <c r="D21" s="2792"/>
      <c r="E21" s="2792">
        <v>25546.641</v>
      </c>
      <c r="F21" s="2792"/>
      <c r="G21" s="2792">
        <v>23819.012999999999</v>
      </c>
      <c r="H21" s="2792">
        <v>24278.113999999998</v>
      </c>
      <c r="I21" s="2792">
        <v>24351.210999999999</v>
      </c>
      <c r="J21" s="2792">
        <v>24645.558000000001</v>
      </c>
      <c r="L21" s="2799"/>
      <c r="M21" s="2799"/>
      <c r="N21" s="2799"/>
      <c r="O21" s="2799"/>
    </row>
    <row r="22" spans="1:15" ht="15.75">
      <c r="A22" s="2784" t="s">
        <v>27</v>
      </c>
      <c r="B22" s="2793" t="s">
        <v>811</v>
      </c>
      <c r="C22" s="2790" t="s">
        <v>801</v>
      </c>
      <c r="D22" s="2792"/>
      <c r="E22" s="2792">
        <v>6710.384</v>
      </c>
      <c r="F22" s="2792"/>
      <c r="G22" s="2792">
        <v>6862.7060000000001</v>
      </c>
      <c r="H22" s="2792">
        <v>6931.0919999999996</v>
      </c>
      <c r="I22" s="2792">
        <v>6568.4969999999994</v>
      </c>
      <c r="J22" s="2792">
        <v>6845.3130000000001</v>
      </c>
      <c r="L22" s="2799"/>
      <c r="M22" s="2799"/>
      <c r="N22" s="2799"/>
      <c r="O22" s="2799"/>
    </row>
    <row r="23" spans="1:15" s="2798" customFormat="1" ht="15.75">
      <c r="A23" s="2794" t="s">
        <v>812</v>
      </c>
      <c r="B23" s="2795" t="s">
        <v>813</v>
      </c>
      <c r="C23" s="2796" t="s">
        <v>801</v>
      </c>
      <c r="D23" s="2797"/>
      <c r="E23" s="2797">
        <v>1202.7190000000001</v>
      </c>
      <c r="F23" s="2797"/>
      <c r="G23" s="2797">
        <v>1114.1300000000001</v>
      </c>
      <c r="H23" s="2797">
        <v>1120.32</v>
      </c>
      <c r="I23" s="2797">
        <v>1099.4359999999999</v>
      </c>
      <c r="J23" s="2797">
        <v>1131.24</v>
      </c>
      <c r="L23" s="3023"/>
      <c r="M23" s="3023"/>
      <c r="N23" s="3023"/>
      <c r="O23" s="3023"/>
    </row>
    <row r="24" spans="1:15" s="2798" customFormat="1" ht="17.25" customHeight="1">
      <c r="A24" s="2794" t="s">
        <v>814</v>
      </c>
      <c r="B24" s="2795" t="s">
        <v>815</v>
      </c>
      <c r="C24" s="2796" t="s">
        <v>801</v>
      </c>
      <c r="D24" s="2797"/>
      <c r="E24" s="2797">
        <v>5507.665</v>
      </c>
      <c r="F24" s="2797"/>
      <c r="G24" s="2797">
        <v>5748.576</v>
      </c>
      <c r="H24" s="2797">
        <v>5810.7719999999999</v>
      </c>
      <c r="I24" s="2797">
        <v>5469.0609999999997</v>
      </c>
      <c r="J24" s="2797">
        <v>5714.0730000000003</v>
      </c>
      <c r="L24" s="3023"/>
      <c r="M24" s="3023"/>
      <c r="N24" s="3023"/>
      <c r="O24" s="3023"/>
    </row>
    <row r="25" spans="1:15" ht="23.25" customHeight="1">
      <c r="A25" s="2784" t="s">
        <v>30</v>
      </c>
      <c r="B25" s="2789" t="s">
        <v>816</v>
      </c>
      <c r="C25" s="2790" t="s">
        <v>801</v>
      </c>
      <c r="D25" s="2792"/>
      <c r="E25" s="2792">
        <v>32552.417999999998</v>
      </c>
      <c r="F25" s="2792"/>
      <c r="G25" s="2792">
        <v>30920.879000000001</v>
      </c>
      <c r="H25" s="2792">
        <v>31459.055999999997</v>
      </c>
      <c r="I25" s="2792">
        <v>31170.923999999999</v>
      </c>
      <c r="J25" s="2792">
        <v>31744.042999999998</v>
      </c>
      <c r="L25" s="2799"/>
      <c r="M25" s="2799"/>
      <c r="N25" s="2799"/>
      <c r="O25" s="2799"/>
    </row>
    <row r="26" spans="1:15" ht="30" customHeight="1">
      <c r="A26" s="2784" t="s">
        <v>396</v>
      </c>
      <c r="B26" s="2793" t="s">
        <v>817</v>
      </c>
      <c r="C26" s="2790" t="s">
        <v>801</v>
      </c>
      <c r="D26" s="2792"/>
      <c r="E26" s="2792">
        <v>1599.3309999999999</v>
      </c>
      <c r="F26" s="2792"/>
      <c r="G26" s="2792">
        <v>1883.164</v>
      </c>
      <c r="H26" s="2792">
        <v>1885.32</v>
      </c>
      <c r="I26" s="2792">
        <v>1872.5260000000001</v>
      </c>
      <c r="J26" s="2792">
        <v>1850.558</v>
      </c>
      <c r="L26" s="2799"/>
      <c r="M26" s="2799"/>
      <c r="N26" s="2799"/>
      <c r="O26" s="2799"/>
    </row>
    <row r="27" spans="1:15" s="2798" customFormat="1" ht="15.75">
      <c r="A27" s="2794" t="s">
        <v>818</v>
      </c>
      <c r="B27" s="2795" t="s">
        <v>819</v>
      </c>
      <c r="C27" s="2796" t="s">
        <v>801</v>
      </c>
      <c r="D27" s="2797"/>
      <c r="E27" s="2797">
        <v>1599.3309999999999</v>
      </c>
      <c r="F27" s="2797"/>
      <c r="G27" s="2797">
        <v>1883.164</v>
      </c>
      <c r="H27" s="2797">
        <v>1885.32</v>
      </c>
      <c r="I27" s="2797">
        <v>1872.5260000000001</v>
      </c>
      <c r="J27" s="2797">
        <v>1850.558</v>
      </c>
      <c r="L27" s="3023"/>
      <c r="M27" s="3023"/>
      <c r="N27" s="3023"/>
      <c r="O27" s="3023"/>
    </row>
    <row r="28" spans="1:15" ht="15.75">
      <c r="A28" s="2784" t="s">
        <v>397</v>
      </c>
      <c r="B28" s="2793" t="s">
        <v>820</v>
      </c>
      <c r="C28" s="2790" t="s">
        <v>801</v>
      </c>
      <c r="D28" s="2792"/>
      <c r="E28" s="2792">
        <v>30953.087</v>
      </c>
      <c r="F28" s="2792"/>
      <c r="G28" s="2792">
        <v>29037.715</v>
      </c>
      <c r="H28" s="2792">
        <v>29573.735999999997</v>
      </c>
      <c r="I28" s="2792">
        <v>29298.397999999997</v>
      </c>
      <c r="J28" s="2792">
        <v>29893.484999999997</v>
      </c>
      <c r="L28" s="2799"/>
      <c r="M28" s="2799"/>
      <c r="N28" s="2799"/>
      <c r="O28" s="2799"/>
    </row>
    <row r="29" spans="1:15" ht="23.25" customHeight="1">
      <c r="A29" s="2784" t="s">
        <v>255</v>
      </c>
      <c r="B29" s="2789" t="s">
        <v>821</v>
      </c>
      <c r="C29" s="2790" t="s">
        <v>801</v>
      </c>
      <c r="D29" s="2792"/>
      <c r="E29" s="2792">
        <v>11885.034810000005</v>
      </c>
      <c r="F29" s="2792"/>
      <c r="G29" s="2792">
        <v>13781.952000000005</v>
      </c>
      <c r="H29" s="2792">
        <v>13463.776000000005</v>
      </c>
      <c r="I29" s="2792">
        <v>13298.570000000007</v>
      </c>
      <c r="J29" s="2792">
        <v>12962.803</v>
      </c>
      <c r="K29" s="3019" t="s">
        <v>1697</v>
      </c>
      <c r="L29" s="3037">
        <f>L30+L35</f>
        <v>13363.826783333334</v>
      </c>
      <c r="M29" s="3037">
        <f t="shared" ref="M29:N29" si="3">M30+M35</f>
        <v>13308.547740397305</v>
      </c>
      <c r="N29" s="3037">
        <f t="shared" si="3"/>
        <v>13332.901959414346</v>
      </c>
      <c r="O29" s="2799"/>
    </row>
    <row r="30" spans="1:15" s="2802" customFormat="1" ht="31.5" customHeight="1">
      <c r="A30" s="2800" t="s">
        <v>35</v>
      </c>
      <c r="B30" s="2793" t="s">
        <v>1698</v>
      </c>
      <c r="C30" s="2801" t="s">
        <v>801</v>
      </c>
      <c r="D30" s="2792">
        <v>3600</v>
      </c>
      <c r="E30" s="2791">
        <v>4206.5250000000078</v>
      </c>
      <c r="F30" s="2792">
        <v>3313.16</v>
      </c>
      <c r="G30" s="2791">
        <v>4308.8176999999978</v>
      </c>
      <c r="H30" s="2791">
        <v>4325.1130000109697</v>
      </c>
      <c r="I30" s="2791">
        <v>4279.4151965000019</v>
      </c>
      <c r="J30" s="2791">
        <v>4308.6007224999948</v>
      </c>
      <c r="K30" s="3020" t="s">
        <v>1699</v>
      </c>
      <c r="L30" s="3036">
        <f>'Баланс ВС_2016 (2)'!O19+'Баланс ВС_2016 (2)'!O34+1770</f>
        <v>5421.416783333334</v>
      </c>
      <c r="M30" s="3036">
        <f>'Баланс ВС_2016 (2)'!P19+'Баланс ВС_2016 (2)'!P34+1780</f>
        <v>5468.5477403973055</v>
      </c>
      <c r="N30" s="3036">
        <f>'Баланс ВС_2016 (2)'!Q19+'Баланс ВС_2016 (2)'!Q34+1790</f>
        <v>5496.9019594143465</v>
      </c>
      <c r="O30" s="3024"/>
    </row>
    <row r="31" spans="1:15" s="2807" customFormat="1" ht="31.5" hidden="1">
      <c r="A31" s="2803"/>
      <c r="B31" s="2804" t="s">
        <v>1700</v>
      </c>
      <c r="C31" s="2805"/>
      <c r="D31" s="2806"/>
      <c r="E31" s="2806">
        <v>4193.8130000000074</v>
      </c>
      <c r="F31" s="2806"/>
      <c r="G31" s="2806">
        <v>4283.2566999999972</v>
      </c>
      <c r="H31" s="2806">
        <v>4299.5730000109697</v>
      </c>
      <c r="I31" s="2806">
        <v>4253.8231965000014</v>
      </c>
      <c r="J31" s="2806">
        <v>4283.0417224999946</v>
      </c>
      <c r="L31" s="3025"/>
      <c r="M31" s="3025"/>
      <c r="N31" s="3025"/>
      <c r="O31" s="3025"/>
    </row>
    <row r="32" spans="1:15" s="2807" customFormat="1" ht="15.75" hidden="1">
      <c r="A32" s="2803"/>
      <c r="B32" s="2804" t="s">
        <v>1701</v>
      </c>
      <c r="C32" s="2805"/>
      <c r="D32" s="2806"/>
      <c r="E32" s="2806">
        <v>4.9180000000000001</v>
      </c>
      <c r="F32" s="2806"/>
      <c r="G32" s="2806">
        <v>5.0389999999999997</v>
      </c>
      <c r="H32" s="2806">
        <v>5.0600000000000005</v>
      </c>
      <c r="I32" s="2806">
        <v>5.0079999999999991</v>
      </c>
      <c r="J32" s="2806">
        <v>5.0409999999999995</v>
      </c>
      <c r="L32" s="3025"/>
      <c r="M32" s="3025"/>
      <c r="N32" s="3025"/>
      <c r="O32" s="3025"/>
    </row>
    <row r="33" spans="1:15" s="2812" customFormat="1" ht="15.75" hidden="1">
      <c r="A33" s="2808"/>
      <c r="B33" s="2809" t="s">
        <v>1702</v>
      </c>
      <c r="C33" s="2810"/>
      <c r="D33" s="2811"/>
      <c r="E33" s="2811">
        <v>3988.7979999999998</v>
      </c>
      <c r="F33" s="2811"/>
      <c r="G33" s="2811">
        <v>4076.83</v>
      </c>
      <c r="H33" s="2811">
        <v>4092.2809999999999</v>
      </c>
      <c r="I33" s="2811">
        <v>4048.7280000000001</v>
      </c>
      <c r="J33" s="2811">
        <v>4076.5419999999999</v>
      </c>
      <c r="L33" s="3026"/>
      <c r="M33" s="3026"/>
      <c r="N33" s="3026"/>
      <c r="O33" s="3026"/>
    </row>
    <row r="34" spans="1:15" s="2817" customFormat="1" ht="15.75" hidden="1">
      <c r="A34" s="2813"/>
      <c r="B34" s="2814" t="s">
        <v>1703</v>
      </c>
      <c r="C34" s="2815"/>
      <c r="D34" s="2816"/>
      <c r="E34" s="2816">
        <v>17.630000000000003</v>
      </c>
      <c r="F34" s="2816"/>
      <c r="G34" s="2816">
        <v>30.6</v>
      </c>
      <c r="H34" s="2816">
        <v>30.6</v>
      </c>
      <c r="I34" s="2816">
        <v>30.6</v>
      </c>
      <c r="J34" s="2816">
        <v>30.6</v>
      </c>
      <c r="L34" s="3027"/>
      <c r="M34" s="3027"/>
      <c r="N34" s="3027"/>
      <c r="O34" s="3027"/>
    </row>
    <row r="35" spans="1:15" ht="15.75" customHeight="1">
      <c r="A35" s="2784" t="s">
        <v>37</v>
      </c>
      <c r="B35" s="2793" t="s">
        <v>823</v>
      </c>
      <c r="C35" s="2790" t="s">
        <v>801</v>
      </c>
      <c r="D35" s="2792"/>
      <c r="E35" s="2792">
        <v>7678.5098099999968</v>
      </c>
      <c r="F35" s="2792"/>
      <c r="G35" s="2792">
        <v>9473.134300000007</v>
      </c>
      <c r="H35" s="2792">
        <v>9138.6629999890356</v>
      </c>
      <c r="I35" s="2792">
        <v>9019.1548035000051</v>
      </c>
      <c r="J35" s="2792">
        <v>8654.2022775000041</v>
      </c>
      <c r="K35" s="3019" t="s">
        <v>1704</v>
      </c>
      <c r="L35" s="3033">
        <f>(7692.71+7797.69+8336.83)/3</f>
        <v>7942.41</v>
      </c>
      <c r="M35" s="3033">
        <v>7840</v>
      </c>
      <c r="N35" s="3033">
        <v>7836</v>
      </c>
      <c r="O35" s="2799"/>
    </row>
    <row r="36" spans="1:15" ht="15.75">
      <c r="A36" s="2784" t="s">
        <v>40</v>
      </c>
      <c r="B36" s="2818" t="s">
        <v>829</v>
      </c>
      <c r="C36" s="2790" t="s">
        <v>801</v>
      </c>
      <c r="D36" s="2792" t="s">
        <v>830</v>
      </c>
      <c r="E36" s="2792"/>
      <c r="F36" s="2792"/>
      <c r="G36" s="2792"/>
      <c r="H36" s="2792"/>
      <c r="I36" s="2792"/>
      <c r="J36" s="2792"/>
      <c r="L36" s="2799"/>
      <c r="M36" s="2799"/>
      <c r="N36" s="2799"/>
      <c r="O36" s="2799"/>
    </row>
    <row r="37" spans="1:15" s="2788" customFormat="1" ht="24" customHeight="1">
      <c r="A37" s="2785">
        <v>2</v>
      </c>
      <c r="B37" s="2786" t="s">
        <v>831</v>
      </c>
      <c r="C37" s="2819" t="s">
        <v>801</v>
      </c>
      <c r="D37" s="2820"/>
      <c r="E37" s="2820">
        <v>51801.056810000002</v>
      </c>
      <c r="F37" s="2820"/>
      <c r="G37" s="2820">
        <v>52037.096000000005</v>
      </c>
      <c r="H37" s="2820">
        <v>52269.965000000004</v>
      </c>
      <c r="I37" s="2820">
        <v>51848.561000000002</v>
      </c>
      <c r="J37" s="2820">
        <v>52068.376000000004</v>
      </c>
      <c r="K37" s="3021" t="s">
        <v>1705</v>
      </c>
      <c r="L37" s="3084">
        <f>L12+L30</f>
        <v>59323.256666666668</v>
      </c>
      <c r="M37" s="3084">
        <f t="shared" ref="M37:N37" si="4">M12+M30</f>
        <v>60131</v>
      </c>
      <c r="N37" s="3084">
        <f t="shared" si="4"/>
        <v>60640.865999999995</v>
      </c>
      <c r="O37" s="2821"/>
    </row>
    <row r="38" spans="1:15" s="2826" customFormat="1" ht="15.75" hidden="1">
      <c r="A38" s="2822"/>
      <c r="B38" s="2823" t="s">
        <v>832</v>
      </c>
      <c r="C38" s="2824"/>
      <c r="D38" s="2825">
        <v>54967.656999999999</v>
      </c>
      <c r="E38" s="2825">
        <v>55789.854810000004</v>
      </c>
      <c r="F38" s="2825">
        <v>54969.062999000002</v>
      </c>
      <c r="G38" s="2825">
        <v>56113.926000000007</v>
      </c>
      <c r="H38" s="2825">
        <v>56362.246000000006</v>
      </c>
      <c r="I38" s="2825">
        <v>55897.289000000004</v>
      </c>
      <c r="J38" s="2825">
        <v>56144.918000000005</v>
      </c>
      <c r="K38" s="2826" t="s">
        <v>1706</v>
      </c>
      <c r="L38" s="3028"/>
      <c r="M38" s="3028"/>
      <c r="N38" s="3028"/>
      <c r="O38" s="3028"/>
    </row>
    <row r="39" spans="1:15" s="2830" customFormat="1" ht="19.5" customHeight="1">
      <c r="A39" s="2827" t="s">
        <v>52</v>
      </c>
      <c r="B39" s="2828" t="s">
        <v>833</v>
      </c>
      <c r="C39" s="2783" t="s">
        <v>801</v>
      </c>
      <c r="D39" s="2791"/>
      <c r="E39" s="2791">
        <v>50139.517999999996</v>
      </c>
      <c r="F39" s="2791"/>
      <c r="G39" s="2791">
        <v>50456.304000000004</v>
      </c>
      <c r="H39" s="2791">
        <v>50683.292000000001</v>
      </c>
      <c r="I39" s="2791">
        <v>50278.436000000002</v>
      </c>
      <c r="J39" s="2791">
        <v>50487.726000000002</v>
      </c>
      <c r="K39" s="3022" t="s">
        <v>1707</v>
      </c>
      <c r="L39" s="3039">
        <f>L37-L40</f>
        <v>59250.481666666667</v>
      </c>
      <c r="M39" s="3039">
        <f t="shared" ref="M39:N39" si="5">M37-M40</f>
        <v>60058.646000000001</v>
      </c>
      <c r="N39" s="3039">
        <f t="shared" si="5"/>
        <v>60568.267999999996</v>
      </c>
      <c r="O39" s="2829"/>
    </row>
    <row r="40" spans="1:15" ht="15.75">
      <c r="A40" s="2784" t="s">
        <v>54</v>
      </c>
      <c r="B40" s="2789" t="s">
        <v>834</v>
      </c>
      <c r="C40" s="2790" t="s">
        <v>801</v>
      </c>
      <c r="D40" s="2792">
        <v>78.658999999999992</v>
      </c>
      <c r="E40" s="2792">
        <v>67.579810000000009</v>
      </c>
      <c r="F40" s="2792">
        <v>79.199999999999989</v>
      </c>
      <c r="G40" s="2792">
        <v>72.612000000000009</v>
      </c>
      <c r="H40" s="2792">
        <v>72.775000000000006</v>
      </c>
      <c r="I40" s="2792">
        <v>72.353999999999999</v>
      </c>
      <c r="J40" s="2792">
        <v>72.598000000000013</v>
      </c>
      <c r="L40" s="3033">
        <f>H40</f>
        <v>72.775000000000006</v>
      </c>
      <c r="M40" s="3033">
        <f t="shared" ref="M40:N40" si="6">I40</f>
        <v>72.353999999999999</v>
      </c>
      <c r="N40" s="3033">
        <f t="shared" si="6"/>
        <v>72.598000000000013</v>
      </c>
      <c r="O40" s="2799"/>
    </row>
    <row r="41" spans="1:15" s="2835" customFormat="1" ht="15.75" hidden="1">
      <c r="A41" s="2831" t="s">
        <v>56</v>
      </c>
      <c r="B41" s="2832" t="s">
        <v>835</v>
      </c>
      <c r="C41" s="2833"/>
      <c r="D41" s="2834"/>
      <c r="E41" s="2834">
        <v>1593.9589999999998</v>
      </c>
      <c r="F41" s="2834"/>
      <c r="G41" s="2834">
        <v>1508.1799999999998</v>
      </c>
      <c r="H41" s="2834">
        <v>1513.8979999999999</v>
      </c>
      <c r="I41" s="2834">
        <v>1497.771</v>
      </c>
      <c r="J41" s="2834">
        <v>1508.0519999999999</v>
      </c>
      <c r="L41" s="3029"/>
      <c r="M41" s="3029"/>
      <c r="N41" s="3029"/>
      <c r="O41" s="3029"/>
    </row>
    <row r="42" spans="1:15" s="2788" customFormat="1" ht="33.75" customHeight="1">
      <c r="A42" s="2785">
        <v>3</v>
      </c>
      <c r="B42" s="2786" t="s">
        <v>836</v>
      </c>
      <c r="C42" s="2819" t="s">
        <v>801</v>
      </c>
      <c r="D42" s="2820">
        <v>51002.469999999994</v>
      </c>
      <c r="E42" s="2820">
        <v>50932.075999999994</v>
      </c>
      <c r="F42" s="2820">
        <v>50506.144999999997</v>
      </c>
      <c r="G42" s="2820">
        <v>51274.092000000004</v>
      </c>
      <c r="H42" s="2820">
        <v>51504.169000000002</v>
      </c>
      <c r="I42" s="2820">
        <v>51090.553</v>
      </c>
      <c r="J42" s="2820">
        <v>51305.393000000004</v>
      </c>
      <c r="L42" s="2821"/>
      <c r="M42" s="2821"/>
      <c r="N42" s="2821"/>
      <c r="O42" s="2821"/>
    </row>
    <row r="43" spans="1:15" ht="21" customHeight="1">
      <c r="A43" s="2784" t="s">
        <v>64</v>
      </c>
      <c r="B43" s="2789" t="s">
        <v>837</v>
      </c>
      <c r="C43" s="2790" t="s">
        <v>801</v>
      </c>
      <c r="D43" s="2792">
        <v>51002.469999999994</v>
      </c>
      <c r="E43" s="2792">
        <v>50932.075999999994</v>
      </c>
      <c r="F43" s="2792">
        <v>50506.144999999997</v>
      </c>
      <c r="G43" s="2792">
        <v>51274.092000000004</v>
      </c>
      <c r="H43" s="2792">
        <v>51504.169000000002</v>
      </c>
      <c r="I43" s="2792">
        <v>51090.553</v>
      </c>
      <c r="J43" s="2792">
        <v>51305.393000000004</v>
      </c>
      <c r="K43" s="3021" t="s">
        <v>1708</v>
      </c>
      <c r="L43" s="2799"/>
      <c r="M43" s="2799"/>
      <c r="N43" s="2799"/>
      <c r="O43" s="2799"/>
    </row>
    <row r="44" spans="1:15" ht="21" customHeight="1">
      <c r="A44" s="2784" t="s">
        <v>80</v>
      </c>
      <c r="B44" s="2789" t="s">
        <v>838</v>
      </c>
      <c r="C44" s="2790" t="s">
        <v>801</v>
      </c>
      <c r="D44" s="2791"/>
      <c r="E44" s="2791">
        <v>48086.481</v>
      </c>
      <c r="F44" s="2791"/>
      <c r="G44" s="2791">
        <v>48102.798000000003</v>
      </c>
      <c r="H44" s="2791">
        <v>48105.095000000001</v>
      </c>
      <c r="I44" s="2791">
        <v>48097.152999999998</v>
      </c>
      <c r="J44" s="2791">
        <v>48102.345000000001</v>
      </c>
      <c r="L44" s="2799"/>
      <c r="M44" s="2799"/>
      <c r="N44" s="2799"/>
      <c r="O44" s="2799"/>
    </row>
    <row r="45" spans="1:15" s="2788" customFormat="1" ht="23.25" customHeight="1">
      <c r="A45" s="2785">
        <v>4</v>
      </c>
      <c r="B45" s="2786" t="s">
        <v>839</v>
      </c>
      <c r="C45" s="2819" t="s">
        <v>801</v>
      </c>
      <c r="D45" s="2836"/>
      <c r="E45" s="2836">
        <v>561.62890000000004</v>
      </c>
      <c r="F45" s="2836"/>
      <c r="G45" s="2836">
        <v>722.40520000000004</v>
      </c>
      <c r="H45" s="2836">
        <v>723.98</v>
      </c>
      <c r="I45" s="2836">
        <v>722.41</v>
      </c>
      <c r="J45" s="2836">
        <v>722.41</v>
      </c>
      <c r="L45" s="2821"/>
      <c r="M45" s="2821"/>
      <c r="N45" s="2821"/>
      <c r="O45" s="2821"/>
    </row>
    <row r="46" spans="1:15" s="2788" customFormat="1" ht="35.25" customHeight="1">
      <c r="A46" s="2785">
        <v>5</v>
      </c>
      <c r="B46" s="2786" t="s">
        <v>1709</v>
      </c>
      <c r="C46" s="2819" t="s">
        <v>280</v>
      </c>
      <c r="D46" s="2837"/>
      <c r="E46" s="810"/>
      <c r="F46" s="810"/>
      <c r="G46" s="810"/>
      <c r="H46" s="810">
        <v>-3.0683509936086963E-3</v>
      </c>
      <c r="I46" s="810">
        <v>1.9281253459806181E-4</v>
      </c>
      <c r="J46" s="810">
        <v>2.6372364488358355E-3</v>
      </c>
      <c r="L46" s="2821"/>
      <c r="M46" s="2821"/>
      <c r="N46" s="2821"/>
      <c r="O46" s="2821"/>
    </row>
    <row r="48" spans="1:15" ht="15.75">
      <c r="A48" s="3499" t="s">
        <v>841</v>
      </c>
      <c r="B48" s="3499"/>
      <c r="I48" s="812" t="s">
        <v>842</v>
      </c>
    </row>
    <row r="49" spans="1:9" ht="21.75" customHeight="1">
      <c r="A49" s="3499" t="s">
        <v>843</v>
      </c>
      <c r="B49" s="3499"/>
      <c r="I49" s="812" t="s">
        <v>844</v>
      </c>
    </row>
  </sheetData>
  <mergeCells count="12">
    <mergeCell ref="L8:O8"/>
    <mergeCell ref="A48:B48"/>
    <mergeCell ref="A49:B49"/>
    <mergeCell ref="A6:J6"/>
    <mergeCell ref="A8:A9"/>
    <mergeCell ref="B8:B9"/>
    <mergeCell ref="C8:C9"/>
    <mergeCell ref="D8:E8"/>
    <mergeCell ref="F8:G8"/>
    <mergeCell ref="H8:H9"/>
    <mergeCell ref="I8:I9"/>
    <mergeCell ref="J8:J9"/>
  </mergeCells>
  <printOptions horizontalCentered="1"/>
  <pageMargins left="0.31496062992125984" right="0.19685039370078741" top="0.47244094488188981" bottom="0.17" header="0.31496062992125984" footer="0.15748031496062992"/>
  <pageSetup paperSize="9" scale="6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X94"/>
  <sheetViews>
    <sheetView zoomScale="85" zoomScaleNormal="85" zoomScaleSheetLayoutView="75" workbookViewId="0">
      <pane xSplit="2" ySplit="11" topLeftCell="H18" activePane="bottomRight" state="frozen"/>
      <selection pane="topRight" activeCell="D1" sqref="D1"/>
      <selection pane="bottomLeft" activeCell="A22" sqref="A22"/>
      <selection pane="bottomRight" activeCell="M30" sqref="M30"/>
    </sheetView>
  </sheetViews>
  <sheetFormatPr defaultRowHeight="15" outlineLevelRow="1"/>
  <cols>
    <col min="1" max="1" width="7.85546875" bestFit="1" customWidth="1"/>
    <col min="2" max="2" width="51" customWidth="1"/>
    <col min="3" max="3" width="18" customWidth="1"/>
    <col min="4" max="4" width="12" customWidth="1"/>
    <col min="5" max="5" width="10.7109375" customWidth="1"/>
    <col min="6" max="6" width="14" customWidth="1"/>
    <col min="7" max="7" width="12.28515625" customWidth="1"/>
    <col min="8" max="8" width="10" customWidth="1"/>
    <col min="9" max="9" width="11.42578125" customWidth="1"/>
    <col min="10" max="10" width="10.85546875" customWidth="1"/>
    <col min="11" max="11" width="12.42578125" customWidth="1"/>
    <col min="12" max="12" width="13.85546875" customWidth="1"/>
    <col min="13" max="13" width="11.42578125" customWidth="1"/>
    <col min="14" max="14" width="11.140625" customWidth="1"/>
    <col min="15" max="17" width="12.42578125" customWidth="1"/>
    <col min="18" max="18" width="11.28515625" style="1815" customWidth="1"/>
    <col min="22" max="23" width="11" bestFit="1" customWidth="1"/>
    <col min="245" max="245" width="7.85546875" bestFit="1" customWidth="1"/>
    <col min="246" max="246" width="64" customWidth="1"/>
    <col min="247" max="247" width="0" hidden="1" customWidth="1"/>
    <col min="248" max="248" width="18" customWidth="1"/>
    <col min="249" max="258" width="0" hidden="1" customWidth="1"/>
    <col min="259" max="259" width="16.85546875" customWidth="1"/>
    <col min="260" max="260" width="16.5703125" customWidth="1"/>
    <col min="261" max="261" width="0" hidden="1" customWidth="1"/>
    <col min="262" max="263" width="16.42578125" customWidth="1"/>
    <col min="264" max="264" width="0" hidden="1" customWidth="1"/>
    <col min="265" max="265" width="17.5703125" customWidth="1"/>
    <col min="266" max="266" width="0" hidden="1" customWidth="1"/>
    <col min="267" max="267" width="16.7109375" customWidth="1"/>
    <col min="268" max="268" width="0" hidden="1" customWidth="1"/>
    <col min="269" max="269" width="17.7109375" customWidth="1"/>
    <col min="270" max="270" width="0" hidden="1" customWidth="1"/>
    <col min="271" max="271" width="18.140625" customWidth="1"/>
    <col min="272" max="272" width="0" hidden="1" customWidth="1"/>
    <col min="273" max="273" width="16.85546875" customWidth="1"/>
    <col min="278" max="279" width="11" bestFit="1" customWidth="1"/>
    <col min="501" max="501" width="7.85546875" bestFit="1" customWidth="1"/>
    <col min="502" max="502" width="64" customWidth="1"/>
    <col min="503" max="503" width="0" hidden="1" customWidth="1"/>
    <col min="504" max="504" width="18" customWidth="1"/>
    <col min="505" max="514" width="0" hidden="1" customWidth="1"/>
    <col min="515" max="515" width="16.85546875" customWidth="1"/>
    <col min="516" max="516" width="16.5703125" customWidth="1"/>
    <col min="517" max="517" width="0" hidden="1" customWidth="1"/>
    <col min="518" max="519" width="16.42578125" customWidth="1"/>
    <col min="520" max="520" width="0" hidden="1" customWidth="1"/>
    <col min="521" max="521" width="17.5703125" customWidth="1"/>
    <col min="522" max="522" width="0" hidden="1" customWidth="1"/>
    <col min="523" max="523" width="16.7109375" customWidth="1"/>
    <col min="524" max="524" width="0" hidden="1" customWidth="1"/>
    <col min="525" max="525" width="17.7109375" customWidth="1"/>
    <col min="526" max="526" width="0" hidden="1" customWidth="1"/>
    <col min="527" max="527" width="18.140625" customWidth="1"/>
    <col min="528" max="528" width="0" hidden="1" customWidth="1"/>
    <col min="529" max="529" width="16.85546875" customWidth="1"/>
    <col min="534" max="535" width="11" bestFit="1" customWidth="1"/>
    <col min="757" max="757" width="7.85546875" bestFit="1" customWidth="1"/>
    <col min="758" max="758" width="64" customWidth="1"/>
    <col min="759" max="759" width="0" hidden="1" customWidth="1"/>
    <col min="760" max="760" width="18" customWidth="1"/>
    <col min="761" max="770" width="0" hidden="1" customWidth="1"/>
    <col min="771" max="771" width="16.85546875" customWidth="1"/>
    <col min="772" max="772" width="16.5703125" customWidth="1"/>
    <col min="773" max="773" width="0" hidden="1" customWidth="1"/>
    <col min="774" max="775" width="16.42578125" customWidth="1"/>
    <col min="776" max="776" width="0" hidden="1" customWidth="1"/>
    <col min="777" max="777" width="17.5703125" customWidth="1"/>
    <col min="778" max="778" width="0" hidden="1" customWidth="1"/>
    <col min="779" max="779" width="16.7109375" customWidth="1"/>
    <col min="780" max="780" width="0" hidden="1" customWidth="1"/>
    <col min="781" max="781" width="17.7109375" customWidth="1"/>
    <col min="782" max="782" width="0" hidden="1" customWidth="1"/>
    <col min="783" max="783" width="18.140625" customWidth="1"/>
    <col min="784" max="784" width="0" hidden="1" customWidth="1"/>
    <col min="785" max="785" width="16.85546875" customWidth="1"/>
    <col min="790" max="791" width="11" bestFit="1" customWidth="1"/>
    <col min="1013" max="1013" width="7.85546875" bestFit="1" customWidth="1"/>
    <col min="1014" max="1014" width="64" customWidth="1"/>
    <col min="1015" max="1015" width="0" hidden="1" customWidth="1"/>
    <col min="1016" max="1016" width="18" customWidth="1"/>
    <col min="1017" max="1026" width="0" hidden="1" customWidth="1"/>
    <col min="1027" max="1027" width="16.85546875" customWidth="1"/>
    <col min="1028" max="1028" width="16.5703125" customWidth="1"/>
    <col min="1029" max="1029" width="0" hidden="1" customWidth="1"/>
    <col min="1030" max="1031" width="16.42578125" customWidth="1"/>
    <col min="1032" max="1032" width="0" hidden="1" customWidth="1"/>
    <col min="1033" max="1033" width="17.5703125" customWidth="1"/>
    <col min="1034" max="1034" width="0" hidden="1" customWidth="1"/>
    <col min="1035" max="1035" width="16.7109375" customWidth="1"/>
    <col min="1036" max="1036" width="0" hidden="1" customWidth="1"/>
    <col min="1037" max="1037" width="17.7109375" customWidth="1"/>
    <col min="1038" max="1038" width="0" hidden="1" customWidth="1"/>
    <col min="1039" max="1039" width="18.140625" customWidth="1"/>
    <col min="1040" max="1040" width="0" hidden="1" customWidth="1"/>
    <col min="1041" max="1041" width="16.85546875" customWidth="1"/>
    <col min="1046" max="1047" width="11" bestFit="1" customWidth="1"/>
    <col min="1269" max="1269" width="7.85546875" bestFit="1" customWidth="1"/>
    <col min="1270" max="1270" width="64" customWidth="1"/>
    <col min="1271" max="1271" width="0" hidden="1" customWidth="1"/>
    <col min="1272" max="1272" width="18" customWidth="1"/>
    <col min="1273" max="1282" width="0" hidden="1" customWidth="1"/>
    <col min="1283" max="1283" width="16.85546875" customWidth="1"/>
    <col min="1284" max="1284" width="16.5703125" customWidth="1"/>
    <col min="1285" max="1285" width="0" hidden="1" customWidth="1"/>
    <col min="1286" max="1287" width="16.42578125" customWidth="1"/>
    <col min="1288" max="1288" width="0" hidden="1" customWidth="1"/>
    <col min="1289" max="1289" width="17.5703125" customWidth="1"/>
    <col min="1290" max="1290" width="0" hidden="1" customWidth="1"/>
    <col min="1291" max="1291" width="16.7109375" customWidth="1"/>
    <col min="1292" max="1292" width="0" hidden="1" customWidth="1"/>
    <col min="1293" max="1293" width="17.7109375" customWidth="1"/>
    <col min="1294" max="1294" width="0" hidden="1" customWidth="1"/>
    <col min="1295" max="1295" width="18.140625" customWidth="1"/>
    <col min="1296" max="1296" width="0" hidden="1" customWidth="1"/>
    <col min="1297" max="1297" width="16.85546875" customWidth="1"/>
    <col min="1302" max="1303" width="11" bestFit="1" customWidth="1"/>
    <col min="1525" max="1525" width="7.85546875" bestFit="1" customWidth="1"/>
    <col min="1526" max="1526" width="64" customWidth="1"/>
    <col min="1527" max="1527" width="0" hidden="1" customWidth="1"/>
    <col min="1528" max="1528" width="18" customWidth="1"/>
    <col min="1529" max="1538" width="0" hidden="1" customWidth="1"/>
    <col min="1539" max="1539" width="16.85546875" customWidth="1"/>
    <col min="1540" max="1540" width="16.5703125" customWidth="1"/>
    <col min="1541" max="1541" width="0" hidden="1" customWidth="1"/>
    <col min="1542" max="1543" width="16.42578125" customWidth="1"/>
    <col min="1544" max="1544" width="0" hidden="1" customWidth="1"/>
    <col min="1545" max="1545" width="17.5703125" customWidth="1"/>
    <col min="1546" max="1546" width="0" hidden="1" customWidth="1"/>
    <col min="1547" max="1547" width="16.7109375" customWidth="1"/>
    <col min="1548" max="1548" width="0" hidden="1" customWidth="1"/>
    <col min="1549" max="1549" width="17.7109375" customWidth="1"/>
    <col min="1550" max="1550" width="0" hidden="1" customWidth="1"/>
    <col min="1551" max="1551" width="18.140625" customWidth="1"/>
    <col min="1552" max="1552" width="0" hidden="1" customWidth="1"/>
    <col min="1553" max="1553" width="16.85546875" customWidth="1"/>
    <col min="1558" max="1559" width="11" bestFit="1" customWidth="1"/>
    <col min="1781" max="1781" width="7.85546875" bestFit="1" customWidth="1"/>
    <col min="1782" max="1782" width="64" customWidth="1"/>
    <col min="1783" max="1783" width="0" hidden="1" customWidth="1"/>
    <col min="1784" max="1784" width="18" customWidth="1"/>
    <col min="1785" max="1794" width="0" hidden="1" customWidth="1"/>
    <col min="1795" max="1795" width="16.85546875" customWidth="1"/>
    <col min="1796" max="1796" width="16.5703125" customWidth="1"/>
    <col min="1797" max="1797" width="0" hidden="1" customWidth="1"/>
    <col min="1798" max="1799" width="16.42578125" customWidth="1"/>
    <col min="1800" max="1800" width="0" hidden="1" customWidth="1"/>
    <col min="1801" max="1801" width="17.5703125" customWidth="1"/>
    <col min="1802" max="1802" width="0" hidden="1" customWidth="1"/>
    <col min="1803" max="1803" width="16.7109375" customWidth="1"/>
    <col min="1804" max="1804" width="0" hidden="1" customWidth="1"/>
    <col min="1805" max="1805" width="17.7109375" customWidth="1"/>
    <col min="1806" max="1806" width="0" hidden="1" customWidth="1"/>
    <col min="1807" max="1807" width="18.140625" customWidth="1"/>
    <col min="1808" max="1808" width="0" hidden="1" customWidth="1"/>
    <col min="1809" max="1809" width="16.85546875" customWidth="1"/>
    <col min="1814" max="1815" width="11" bestFit="1" customWidth="1"/>
    <col min="2037" max="2037" width="7.85546875" bestFit="1" customWidth="1"/>
    <col min="2038" max="2038" width="64" customWidth="1"/>
    <col min="2039" max="2039" width="0" hidden="1" customWidth="1"/>
    <col min="2040" max="2040" width="18" customWidth="1"/>
    <col min="2041" max="2050" width="0" hidden="1" customWidth="1"/>
    <col min="2051" max="2051" width="16.85546875" customWidth="1"/>
    <col min="2052" max="2052" width="16.5703125" customWidth="1"/>
    <col min="2053" max="2053" width="0" hidden="1" customWidth="1"/>
    <col min="2054" max="2055" width="16.42578125" customWidth="1"/>
    <col min="2056" max="2056" width="0" hidden="1" customWidth="1"/>
    <col min="2057" max="2057" width="17.5703125" customWidth="1"/>
    <col min="2058" max="2058" width="0" hidden="1" customWidth="1"/>
    <col min="2059" max="2059" width="16.7109375" customWidth="1"/>
    <col min="2060" max="2060" width="0" hidden="1" customWidth="1"/>
    <col min="2061" max="2061" width="17.7109375" customWidth="1"/>
    <col min="2062" max="2062" width="0" hidden="1" customWidth="1"/>
    <col min="2063" max="2063" width="18.140625" customWidth="1"/>
    <col min="2064" max="2064" width="0" hidden="1" customWidth="1"/>
    <col min="2065" max="2065" width="16.85546875" customWidth="1"/>
    <col min="2070" max="2071" width="11" bestFit="1" customWidth="1"/>
    <col min="2293" max="2293" width="7.85546875" bestFit="1" customWidth="1"/>
    <col min="2294" max="2294" width="64" customWidth="1"/>
    <col min="2295" max="2295" width="0" hidden="1" customWidth="1"/>
    <col min="2296" max="2296" width="18" customWidth="1"/>
    <col min="2297" max="2306" width="0" hidden="1" customWidth="1"/>
    <col min="2307" max="2307" width="16.85546875" customWidth="1"/>
    <col min="2308" max="2308" width="16.5703125" customWidth="1"/>
    <col min="2309" max="2309" width="0" hidden="1" customWidth="1"/>
    <col min="2310" max="2311" width="16.42578125" customWidth="1"/>
    <col min="2312" max="2312" width="0" hidden="1" customWidth="1"/>
    <col min="2313" max="2313" width="17.5703125" customWidth="1"/>
    <col min="2314" max="2314" width="0" hidden="1" customWidth="1"/>
    <col min="2315" max="2315" width="16.7109375" customWidth="1"/>
    <col min="2316" max="2316" width="0" hidden="1" customWidth="1"/>
    <col min="2317" max="2317" width="17.7109375" customWidth="1"/>
    <col min="2318" max="2318" width="0" hidden="1" customWidth="1"/>
    <col min="2319" max="2319" width="18.140625" customWidth="1"/>
    <col min="2320" max="2320" width="0" hidden="1" customWidth="1"/>
    <col min="2321" max="2321" width="16.85546875" customWidth="1"/>
    <col min="2326" max="2327" width="11" bestFit="1" customWidth="1"/>
    <col min="2549" max="2549" width="7.85546875" bestFit="1" customWidth="1"/>
    <col min="2550" max="2550" width="64" customWidth="1"/>
    <col min="2551" max="2551" width="0" hidden="1" customWidth="1"/>
    <col min="2552" max="2552" width="18" customWidth="1"/>
    <col min="2553" max="2562" width="0" hidden="1" customWidth="1"/>
    <col min="2563" max="2563" width="16.85546875" customWidth="1"/>
    <col min="2564" max="2564" width="16.5703125" customWidth="1"/>
    <col min="2565" max="2565" width="0" hidden="1" customWidth="1"/>
    <col min="2566" max="2567" width="16.42578125" customWidth="1"/>
    <col min="2568" max="2568" width="0" hidden="1" customWidth="1"/>
    <col min="2569" max="2569" width="17.5703125" customWidth="1"/>
    <col min="2570" max="2570" width="0" hidden="1" customWidth="1"/>
    <col min="2571" max="2571" width="16.7109375" customWidth="1"/>
    <col min="2572" max="2572" width="0" hidden="1" customWidth="1"/>
    <col min="2573" max="2573" width="17.7109375" customWidth="1"/>
    <col min="2574" max="2574" width="0" hidden="1" customWidth="1"/>
    <col min="2575" max="2575" width="18.140625" customWidth="1"/>
    <col min="2576" max="2576" width="0" hidden="1" customWidth="1"/>
    <col min="2577" max="2577" width="16.85546875" customWidth="1"/>
    <col min="2582" max="2583" width="11" bestFit="1" customWidth="1"/>
    <col min="2805" max="2805" width="7.85546875" bestFit="1" customWidth="1"/>
    <col min="2806" max="2806" width="64" customWidth="1"/>
    <col min="2807" max="2807" width="0" hidden="1" customWidth="1"/>
    <col min="2808" max="2808" width="18" customWidth="1"/>
    <col min="2809" max="2818" width="0" hidden="1" customWidth="1"/>
    <col min="2819" max="2819" width="16.85546875" customWidth="1"/>
    <col min="2820" max="2820" width="16.5703125" customWidth="1"/>
    <col min="2821" max="2821" width="0" hidden="1" customWidth="1"/>
    <col min="2822" max="2823" width="16.42578125" customWidth="1"/>
    <col min="2824" max="2824" width="0" hidden="1" customWidth="1"/>
    <col min="2825" max="2825" width="17.5703125" customWidth="1"/>
    <col min="2826" max="2826" width="0" hidden="1" customWidth="1"/>
    <col min="2827" max="2827" width="16.7109375" customWidth="1"/>
    <col min="2828" max="2828" width="0" hidden="1" customWidth="1"/>
    <col min="2829" max="2829" width="17.7109375" customWidth="1"/>
    <col min="2830" max="2830" width="0" hidden="1" customWidth="1"/>
    <col min="2831" max="2831" width="18.140625" customWidth="1"/>
    <col min="2832" max="2832" width="0" hidden="1" customWidth="1"/>
    <col min="2833" max="2833" width="16.85546875" customWidth="1"/>
    <col min="2838" max="2839" width="11" bestFit="1" customWidth="1"/>
    <col min="3061" max="3061" width="7.85546875" bestFit="1" customWidth="1"/>
    <col min="3062" max="3062" width="64" customWidth="1"/>
    <col min="3063" max="3063" width="0" hidden="1" customWidth="1"/>
    <col min="3064" max="3064" width="18" customWidth="1"/>
    <col min="3065" max="3074" width="0" hidden="1" customWidth="1"/>
    <col min="3075" max="3075" width="16.85546875" customWidth="1"/>
    <col min="3076" max="3076" width="16.5703125" customWidth="1"/>
    <col min="3077" max="3077" width="0" hidden="1" customWidth="1"/>
    <col min="3078" max="3079" width="16.42578125" customWidth="1"/>
    <col min="3080" max="3080" width="0" hidden="1" customWidth="1"/>
    <col min="3081" max="3081" width="17.5703125" customWidth="1"/>
    <col min="3082" max="3082" width="0" hidden="1" customWidth="1"/>
    <col min="3083" max="3083" width="16.7109375" customWidth="1"/>
    <col min="3084" max="3084" width="0" hidden="1" customWidth="1"/>
    <col min="3085" max="3085" width="17.7109375" customWidth="1"/>
    <col min="3086" max="3086" width="0" hidden="1" customWidth="1"/>
    <col min="3087" max="3087" width="18.140625" customWidth="1"/>
    <col min="3088" max="3088" width="0" hidden="1" customWidth="1"/>
    <col min="3089" max="3089" width="16.85546875" customWidth="1"/>
    <col min="3094" max="3095" width="11" bestFit="1" customWidth="1"/>
    <col min="3317" max="3317" width="7.85546875" bestFit="1" customWidth="1"/>
    <col min="3318" max="3318" width="64" customWidth="1"/>
    <col min="3319" max="3319" width="0" hidden="1" customWidth="1"/>
    <col min="3320" max="3320" width="18" customWidth="1"/>
    <col min="3321" max="3330" width="0" hidden="1" customWidth="1"/>
    <col min="3331" max="3331" width="16.85546875" customWidth="1"/>
    <col min="3332" max="3332" width="16.5703125" customWidth="1"/>
    <col min="3333" max="3333" width="0" hidden="1" customWidth="1"/>
    <col min="3334" max="3335" width="16.42578125" customWidth="1"/>
    <col min="3336" max="3336" width="0" hidden="1" customWidth="1"/>
    <col min="3337" max="3337" width="17.5703125" customWidth="1"/>
    <col min="3338" max="3338" width="0" hidden="1" customWidth="1"/>
    <col min="3339" max="3339" width="16.7109375" customWidth="1"/>
    <col min="3340" max="3340" width="0" hidden="1" customWidth="1"/>
    <col min="3341" max="3341" width="17.7109375" customWidth="1"/>
    <col min="3342" max="3342" width="0" hidden="1" customWidth="1"/>
    <col min="3343" max="3343" width="18.140625" customWidth="1"/>
    <col min="3344" max="3344" width="0" hidden="1" customWidth="1"/>
    <col min="3345" max="3345" width="16.85546875" customWidth="1"/>
    <col min="3350" max="3351" width="11" bestFit="1" customWidth="1"/>
    <col min="3573" max="3573" width="7.85546875" bestFit="1" customWidth="1"/>
    <col min="3574" max="3574" width="64" customWidth="1"/>
    <col min="3575" max="3575" width="0" hidden="1" customWidth="1"/>
    <col min="3576" max="3576" width="18" customWidth="1"/>
    <col min="3577" max="3586" width="0" hidden="1" customWidth="1"/>
    <col min="3587" max="3587" width="16.85546875" customWidth="1"/>
    <col min="3588" max="3588" width="16.5703125" customWidth="1"/>
    <col min="3589" max="3589" width="0" hidden="1" customWidth="1"/>
    <col min="3590" max="3591" width="16.42578125" customWidth="1"/>
    <col min="3592" max="3592" width="0" hidden="1" customWidth="1"/>
    <col min="3593" max="3593" width="17.5703125" customWidth="1"/>
    <col min="3594" max="3594" width="0" hidden="1" customWidth="1"/>
    <col min="3595" max="3595" width="16.7109375" customWidth="1"/>
    <col min="3596" max="3596" width="0" hidden="1" customWidth="1"/>
    <col min="3597" max="3597" width="17.7109375" customWidth="1"/>
    <col min="3598" max="3598" width="0" hidden="1" customWidth="1"/>
    <col min="3599" max="3599" width="18.140625" customWidth="1"/>
    <col min="3600" max="3600" width="0" hidden="1" customWidth="1"/>
    <col min="3601" max="3601" width="16.85546875" customWidth="1"/>
    <col min="3606" max="3607" width="11" bestFit="1" customWidth="1"/>
    <col min="3829" max="3829" width="7.85546875" bestFit="1" customWidth="1"/>
    <col min="3830" max="3830" width="64" customWidth="1"/>
    <col min="3831" max="3831" width="0" hidden="1" customWidth="1"/>
    <col min="3832" max="3832" width="18" customWidth="1"/>
    <col min="3833" max="3842" width="0" hidden="1" customWidth="1"/>
    <col min="3843" max="3843" width="16.85546875" customWidth="1"/>
    <col min="3844" max="3844" width="16.5703125" customWidth="1"/>
    <col min="3845" max="3845" width="0" hidden="1" customWidth="1"/>
    <col min="3846" max="3847" width="16.42578125" customWidth="1"/>
    <col min="3848" max="3848" width="0" hidden="1" customWidth="1"/>
    <col min="3849" max="3849" width="17.5703125" customWidth="1"/>
    <col min="3850" max="3850" width="0" hidden="1" customWidth="1"/>
    <col min="3851" max="3851" width="16.7109375" customWidth="1"/>
    <col min="3852" max="3852" width="0" hidden="1" customWidth="1"/>
    <col min="3853" max="3853" width="17.7109375" customWidth="1"/>
    <col min="3854" max="3854" width="0" hidden="1" customWidth="1"/>
    <col min="3855" max="3855" width="18.140625" customWidth="1"/>
    <col min="3856" max="3856" width="0" hidden="1" customWidth="1"/>
    <col min="3857" max="3857" width="16.85546875" customWidth="1"/>
    <col min="3862" max="3863" width="11" bestFit="1" customWidth="1"/>
    <col min="4085" max="4085" width="7.85546875" bestFit="1" customWidth="1"/>
    <col min="4086" max="4086" width="64" customWidth="1"/>
    <col min="4087" max="4087" width="0" hidden="1" customWidth="1"/>
    <col min="4088" max="4088" width="18" customWidth="1"/>
    <col min="4089" max="4098" width="0" hidden="1" customWidth="1"/>
    <col min="4099" max="4099" width="16.85546875" customWidth="1"/>
    <col min="4100" max="4100" width="16.5703125" customWidth="1"/>
    <col min="4101" max="4101" width="0" hidden="1" customWidth="1"/>
    <col min="4102" max="4103" width="16.42578125" customWidth="1"/>
    <col min="4104" max="4104" width="0" hidden="1" customWidth="1"/>
    <col min="4105" max="4105" width="17.5703125" customWidth="1"/>
    <col min="4106" max="4106" width="0" hidden="1" customWidth="1"/>
    <col min="4107" max="4107" width="16.7109375" customWidth="1"/>
    <col min="4108" max="4108" width="0" hidden="1" customWidth="1"/>
    <col min="4109" max="4109" width="17.7109375" customWidth="1"/>
    <col min="4110" max="4110" width="0" hidden="1" customWidth="1"/>
    <col min="4111" max="4111" width="18.140625" customWidth="1"/>
    <col min="4112" max="4112" width="0" hidden="1" customWidth="1"/>
    <col min="4113" max="4113" width="16.85546875" customWidth="1"/>
    <col min="4118" max="4119" width="11" bestFit="1" customWidth="1"/>
    <col min="4341" max="4341" width="7.85546875" bestFit="1" customWidth="1"/>
    <col min="4342" max="4342" width="64" customWidth="1"/>
    <col min="4343" max="4343" width="0" hidden="1" customWidth="1"/>
    <col min="4344" max="4344" width="18" customWidth="1"/>
    <col min="4345" max="4354" width="0" hidden="1" customWidth="1"/>
    <col min="4355" max="4355" width="16.85546875" customWidth="1"/>
    <col min="4356" max="4356" width="16.5703125" customWidth="1"/>
    <col min="4357" max="4357" width="0" hidden="1" customWidth="1"/>
    <col min="4358" max="4359" width="16.42578125" customWidth="1"/>
    <col min="4360" max="4360" width="0" hidden="1" customWidth="1"/>
    <col min="4361" max="4361" width="17.5703125" customWidth="1"/>
    <col min="4362" max="4362" width="0" hidden="1" customWidth="1"/>
    <col min="4363" max="4363" width="16.7109375" customWidth="1"/>
    <col min="4364" max="4364" width="0" hidden="1" customWidth="1"/>
    <col min="4365" max="4365" width="17.7109375" customWidth="1"/>
    <col min="4366" max="4366" width="0" hidden="1" customWidth="1"/>
    <col min="4367" max="4367" width="18.140625" customWidth="1"/>
    <col min="4368" max="4368" width="0" hidden="1" customWidth="1"/>
    <col min="4369" max="4369" width="16.85546875" customWidth="1"/>
    <col min="4374" max="4375" width="11" bestFit="1" customWidth="1"/>
    <col min="4597" max="4597" width="7.85546875" bestFit="1" customWidth="1"/>
    <col min="4598" max="4598" width="64" customWidth="1"/>
    <col min="4599" max="4599" width="0" hidden="1" customWidth="1"/>
    <col min="4600" max="4600" width="18" customWidth="1"/>
    <col min="4601" max="4610" width="0" hidden="1" customWidth="1"/>
    <col min="4611" max="4611" width="16.85546875" customWidth="1"/>
    <col min="4612" max="4612" width="16.5703125" customWidth="1"/>
    <col min="4613" max="4613" width="0" hidden="1" customWidth="1"/>
    <col min="4614" max="4615" width="16.42578125" customWidth="1"/>
    <col min="4616" max="4616" width="0" hidden="1" customWidth="1"/>
    <col min="4617" max="4617" width="17.5703125" customWidth="1"/>
    <col min="4618" max="4618" width="0" hidden="1" customWidth="1"/>
    <col min="4619" max="4619" width="16.7109375" customWidth="1"/>
    <col min="4620" max="4620" width="0" hidden="1" customWidth="1"/>
    <col min="4621" max="4621" width="17.7109375" customWidth="1"/>
    <col min="4622" max="4622" width="0" hidden="1" customWidth="1"/>
    <col min="4623" max="4623" width="18.140625" customWidth="1"/>
    <col min="4624" max="4624" width="0" hidden="1" customWidth="1"/>
    <col min="4625" max="4625" width="16.85546875" customWidth="1"/>
    <col min="4630" max="4631" width="11" bestFit="1" customWidth="1"/>
    <col min="4853" max="4853" width="7.85546875" bestFit="1" customWidth="1"/>
    <col min="4854" max="4854" width="64" customWidth="1"/>
    <col min="4855" max="4855" width="0" hidden="1" customWidth="1"/>
    <col min="4856" max="4856" width="18" customWidth="1"/>
    <col min="4857" max="4866" width="0" hidden="1" customWidth="1"/>
    <col min="4867" max="4867" width="16.85546875" customWidth="1"/>
    <col min="4868" max="4868" width="16.5703125" customWidth="1"/>
    <col min="4869" max="4869" width="0" hidden="1" customWidth="1"/>
    <col min="4870" max="4871" width="16.42578125" customWidth="1"/>
    <col min="4872" max="4872" width="0" hidden="1" customWidth="1"/>
    <col min="4873" max="4873" width="17.5703125" customWidth="1"/>
    <col min="4874" max="4874" width="0" hidden="1" customWidth="1"/>
    <col min="4875" max="4875" width="16.7109375" customWidth="1"/>
    <col min="4876" max="4876" width="0" hidden="1" customWidth="1"/>
    <col min="4877" max="4877" width="17.7109375" customWidth="1"/>
    <col min="4878" max="4878" width="0" hidden="1" customWidth="1"/>
    <col min="4879" max="4879" width="18.140625" customWidth="1"/>
    <col min="4880" max="4880" width="0" hidden="1" customWidth="1"/>
    <col min="4881" max="4881" width="16.85546875" customWidth="1"/>
    <col min="4886" max="4887" width="11" bestFit="1" customWidth="1"/>
    <col min="5109" max="5109" width="7.85546875" bestFit="1" customWidth="1"/>
    <col min="5110" max="5110" width="64" customWidth="1"/>
    <col min="5111" max="5111" width="0" hidden="1" customWidth="1"/>
    <col min="5112" max="5112" width="18" customWidth="1"/>
    <col min="5113" max="5122" width="0" hidden="1" customWidth="1"/>
    <col min="5123" max="5123" width="16.85546875" customWidth="1"/>
    <col min="5124" max="5124" width="16.5703125" customWidth="1"/>
    <col min="5125" max="5125" width="0" hidden="1" customWidth="1"/>
    <col min="5126" max="5127" width="16.42578125" customWidth="1"/>
    <col min="5128" max="5128" width="0" hidden="1" customWidth="1"/>
    <col min="5129" max="5129" width="17.5703125" customWidth="1"/>
    <col min="5130" max="5130" width="0" hidden="1" customWidth="1"/>
    <col min="5131" max="5131" width="16.7109375" customWidth="1"/>
    <col min="5132" max="5132" width="0" hidden="1" customWidth="1"/>
    <col min="5133" max="5133" width="17.7109375" customWidth="1"/>
    <col min="5134" max="5134" width="0" hidden="1" customWidth="1"/>
    <col min="5135" max="5135" width="18.140625" customWidth="1"/>
    <col min="5136" max="5136" width="0" hidden="1" customWidth="1"/>
    <col min="5137" max="5137" width="16.85546875" customWidth="1"/>
    <col min="5142" max="5143" width="11" bestFit="1" customWidth="1"/>
    <col min="5365" max="5365" width="7.85546875" bestFit="1" customWidth="1"/>
    <col min="5366" max="5366" width="64" customWidth="1"/>
    <col min="5367" max="5367" width="0" hidden="1" customWidth="1"/>
    <col min="5368" max="5368" width="18" customWidth="1"/>
    <col min="5369" max="5378" width="0" hidden="1" customWidth="1"/>
    <col min="5379" max="5379" width="16.85546875" customWidth="1"/>
    <col min="5380" max="5380" width="16.5703125" customWidth="1"/>
    <col min="5381" max="5381" width="0" hidden="1" customWidth="1"/>
    <col min="5382" max="5383" width="16.42578125" customWidth="1"/>
    <col min="5384" max="5384" width="0" hidden="1" customWidth="1"/>
    <col min="5385" max="5385" width="17.5703125" customWidth="1"/>
    <col min="5386" max="5386" width="0" hidden="1" customWidth="1"/>
    <col min="5387" max="5387" width="16.7109375" customWidth="1"/>
    <col min="5388" max="5388" width="0" hidden="1" customWidth="1"/>
    <col min="5389" max="5389" width="17.7109375" customWidth="1"/>
    <col min="5390" max="5390" width="0" hidden="1" customWidth="1"/>
    <col min="5391" max="5391" width="18.140625" customWidth="1"/>
    <col min="5392" max="5392" width="0" hidden="1" customWidth="1"/>
    <col min="5393" max="5393" width="16.85546875" customWidth="1"/>
    <col min="5398" max="5399" width="11" bestFit="1" customWidth="1"/>
    <col min="5621" max="5621" width="7.85546875" bestFit="1" customWidth="1"/>
    <col min="5622" max="5622" width="64" customWidth="1"/>
    <col min="5623" max="5623" width="0" hidden="1" customWidth="1"/>
    <col min="5624" max="5624" width="18" customWidth="1"/>
    <col min="5625" max="5634" width="0" hidden="1" customWidth="1"/>
    <col min="5635" max="5635" width="16.85546875" customWidth="1"/>
    <col min="5636" max="5636" width="16.5703125" customWidth="1"/>
    <col min="5637" max="5637" width="0" hidden="1" customWidth="1"/>
    <col min="5638" max="5639" width="16.42578125" customWidth="1"/>
    <col min="5640" max="5640" width="0" hidden="1" customWidth="1"/>
    <col min="5641" max="5641" width="17.5703125" customWidth="1"/>
    <col min="5642" max="5642" width="0" hidden="1" customWidth="1"/>
    <col min="5643" max="5643" width="16.7109375" customWidth="1"/>
    <col min="5644" max="5644" width="0" hidden="1" customWidth="1"/>
    <col min="5645" max="5645" width="17.7109375" customWidth="1"/>
    <col min="5646" max="5646" width="0" hidden="1" customWidth="1"/>
    <col min="5647" max="5647" width="18.140625" customWidth="1"/>
    <col min="5648" max="5648" width="0" hidden="1" customWidth="1"/>
    <col min="5649" max="5649" width="16.85546875" customWidth="1"/>
    <col min="5654" max="5655" width="11" bestFit="1" customWidth="1"/>
    <col min="5877" max="5877" width="7.85546875" bestFit="1" customWidth="1"/>
    <col min="5878" max="5878" width="64" customWidth="1"/>
    <col min="5879" max="5879" width="0" hidden="1" customWidth="1"/>
    <col min="5880" max="5880" width="18" customWidth="1"/>
    <col min="5881" max="5890" width="0" hidden="1" customWidth="1"/>
    <col min="5891" max="5891" width="16.85546875" customWidth="1"/>
    <col min="5892" max="5892" width="16.5703125" customWidth="1"/>
    <col min="5893" max="5893" width="0" hidden="1" customWidth="1"/>
    <col min="5894" max="5895" width="16.42578125" customWidth="1"/>
    <col min="5896" max="5896" width="0" hidden="1" customWidth="1"/>
    <col min="5897" max="5897" width="17.5703125" customWidth="1"/>
    <col min="5898" max="5898" width="0" hidden="1" customWidth="1"/>
    <col min="5899" max="5899" width="16.7109375" customWidth="1"/>
    <col min="5900" max="5900" width="0" hidden="1" customWidth="1"/>
    <col min="5901" max="5901" width="17.7109375" customWidth="1"/>
    <col min="5902" max="5902" width="0" hidden="1" customWidth="1"/>
    <col min="5903" max="5903" width="18.140625" customWidth="1"/>
    <col min="5904" max="5904" width="0" hidden="1" customWidth="1"/>
    <col min="5905" max="5905" width="16.85546875" customWidth="1"/>
    <col min="5910" max="5911" width="11" bestFit="1" customWidth="1"/>
    <col min="6133" max="6133" width="7.85546875" bestFit="1" customWidth="1"/>
    <col min="6134" max="6134" width="64" customWidth="1"/>
    <col min="6135" max="6135" width="0" hidden="1" customWidth="1"/>
    <col min="6136" max="6136" width="18" customWidth="1"/>
    <col min="6137" max="6146" width="0" hidden="1" customWidth="1"/>
    <col min="6147" max="6147" width="16.85546875" customWidth="1"/>
    <col min="6148" max="6148" width="16.5703125" customWidth="1"/>
    <col min="6149" max="6149" width="0" hidden="1" customWidth="1"/>
    <col min="6150" max="6151" width="16.42578125" customWidth="1"/>
    <col min="6152" max="6152" width="0" hidden="1" customWidth="1"/>
    <col min="6153" max="6153" width="17.5703125" customWidth="1"/>
    <col min="6154" max="6154" width="0" hidden="1" customWidth="1"/>
    <col min="6155" max="6155" width="16.7109375" customWidth="1"/>
    <col min="6156" max="6156" width="0" hidden="1" customWidth="1"/>
    <col min="6157" max="6157" width="17.7109375" customWidth="1"/>
    <col min="6158" max="6158" width="0" hidden="1" customWidth="1"/>
    <col min="6159" max="6159" width="18.140625" customWidth="1"/>
    <col min="6160" max="6160" width="0" hidden="1" customWidth="1"/>
    <col min="6161" max="6161" width="16.85546875" customWidth="1"/>
    <col min="6166" max="6167" width="11" bestFit="1" customWidth="1"/>
    <col min="6389" max="6389" width="7.85546875" bestFit="1" customWidth="1"/>
    <col min="6390" max="6390" width="64" customWidth="1"/>
    <col min="6391" max="6391" width="0" hidden="1" customWidth="1"/>
    <col min="6392" max="6392" width="18" customWidth="1"/>
    <col min="6393" max="6402" width="0" hidden="1" customWidth="1"/>
    <col min="6403" max="6403" width="16.85546875" customWidth="1"/>
    <col min="6404" max="6404" width="16.5703125" customWidth="1"/>
    <col min="6405" max="6405" width="0" hidden="1" customWidth="1"/>
    <col min="6406" max="6407" width="16.42578125" customWidth="1"/>
    <col min="6408" max="6408" width="0" hidden="1" customWidth="1"/>
    <col min="6409" max="6409" width="17.5703125" customWidth="1"/>
    <col min="6410" max="6410" width="0" hidden="1" customWidth="1"/>
    <col min="6411" max="6411" width="16.7109375" customWidth="1"/>
    <col min="6412" max="6412" width="0" hidden="1" customWidth="1"/>
    <col min="6413" max="6413" width="17.7109375" customWidth="1"/>
    <col min="6414" max="6414" width="0" hidden="1" customWidth="1"/>
    <col min="6415" max="6415" width="18.140625" customWidth="1"/>
    <col min="6416" max="6416" width="0" hidden="1" customWidth="1"/>
    <col min="6417" max="6417" width="16.85546875" customWidth="1"/>
    <col min="6422" max="6423" width="11" bestFit="1" customWidth="1"/>
    <col min="6645" max="6645" width="7.85546875" bestFit="1" customWidth="1"/>
    <col min="6646" max="6646" width="64" customWidth="1"/>
    <col min="6647" max="6647" width="0" hidden="1" customWidth="1"/>
    <col min="6648" max="6648" width="18" customWidth="1"/>
    <col min="6649" max="6658" width="0" hidden="1" customWidth="1"/>
    <col min="6659" max="6659" width="16.85546875" customWidth="1"/>
    <col min="6660" max="6660" width="16.5703125" customWidth="1"/>
    <col min="6661" max="6661" width="0" hidden="1" customWidth="1"/>
    <col min="6662" max="6663" width="16.42578125" customWidth="1"/>
    <col min="6664" max="6664" width="0" hidden="1" customWidth="1"/>
    <col min="6665" max="6665" width="17.5703125" customWidth="1"/>
    <col min="6666" max="6666" width="0" hidden="1" customWidth="1"/>
    <col min="6667" max="6667" width="16.7109375" customWidth="1"/>
    <col min="6668" max="6668" width="0" hidden="1" customWidth="1"/>
    <col min="6669" max="6669" width="17.7109375" customWidth="1"/>
    <col min="6670" max="6670" width="0" hidden="1" customWidth="1"/>
    <col min="6671" max="6671" width="18.140625" customWidth="1"/>
    <col min="6672" max="6672" width="0" hidden="1" customWidth="1"/>
    <col min="6673" max="6673" width="16.85546875" customWidth="1"/>
    <col min="6678" max="6679" width="11" bestFit="1" customWidth="1"/>
    <col min="6901" max="6901" width="7.85546875" bestFit="1" customWidth="1"/>
    <col min="6902" max="6902" width="64" customWidth="1"/>
    <col min="6903" max="6903" width="0" hidden="1" customWidth="1"/>
    <col min="6904" max="6904" width="18" customWidth="1"/>
    <col min="6905" max="6914" width="0" hidden="1" customWidth="1"/>
    <col min="6915" max="6915" width="16.85546875" customWidth="1"/>
    <col min="6916" max="6916" width="16.5703125" customWidth="1"/>
    <col min="6917" max="6917" width="0" hidden="1" customWidth="1"/>
    <col min="6918" max="6919" width="16.42578125" customWidth="1"/>
    <col min="6920" max="6920" width="0" hidden="1" customWidth="1"/>
    <col min="6921" max="6921" width="17.5703125" customWidth="1"/>
    <col min="6922" max="6922" width="0" hidden="1" customWidth="1"/>
    <col min="6923" max="6923" width="16.7109375" customWidth="1"/>
    <col min="6924" max="6924" width="0" hidden="1" customWidth="1"/>
    <col min="6925" max="6925" width="17.7109375" customWidth="1"/>
    <col min="6926" max="6926" width="0" hidden="1" customWidth="1"/>
    <col min="6927" max="6927" width="18.140625" customWidth="1"/>
    <col min="6928" max="6928" width="0" hidden="1" customWidth="1"/>
    <col min="6929" max="6929" width="16.85546875" customWidth="1"/>
    <col min="6934" max="6935" width="11" bestFit="1" customWidth="1"/>
    <col min="7157" max="7157" width="7.85546875" bestFit="1" customWidth="1"/>
    <col min="7158" max="7158" width="64" customWidth="1"/>
    <col min="7159" max="7159" width="0" hidden="1" customWidth="1"/>
    <col min="7160" max="7160" width="18" customWidth="1"/>
    <col min="7161" max="7170" width="0" hidden="1" customWidth="1"/>
    <col min="7171" max="7171" width="16.85546875" customWidth="1"/>
    <col min="7172" max="7172" width="16.5703125" customWidth="1"/>
    <col min="7173" max="7173" width="0" hidden="1" customWidth="1"/>
    <col min="7174" max="7175" width="16.42578125" customWidth="1"/>
    <col min="7176" max="7176" width="0" hidden="1" customWidth="1"/>
    <col min="7177" max="7177" width="17.5703125" customWidth="1"/>
    <col min="7178" max="7178" width="0" hidden="1" customWidth="1"/>
    <col min="7179" max="7179" width="16.7109375" customWidth="1"/>
    <col min="7180" max="7180" width="0" hidden="1" customWidth="1"/>
    <col min="7181" max="7181" width="17.7109375" customWidth="1"/>
    <col min="7182" max="7182" width="0" hidden="1" customWidth="1"/>
    <col min="7183" max="7183" width="18.140625" customWidth="1"/>
    <col min="7184" max="7184" width="0" hidden="1" customWidth="1"/>
    <col min="7185" max="7185" width="16.85546875" customWidth="1"/>
    <col min="7190" max="7191" width="11" bestFit="1" customWidth="1"/>
    <col min="7413" max="7413" width="7.85546875" bestFit="1" customWidth="1"/>
    <col min="7414" max="7414" width="64" customWidth="1"/>
    <col min="7415" max="7415" width="0" hidden="1" customWidth="1"/>
    <col min="7416" max="7416" width="18" customWidth="1"/>
    <col min="7417" max="7426" width="0" hidden="1" customWidth="1"/>
    <col min="7427" max="7427" width="16.85546875" customWidth="1"/>
    <col min="7428" max="7428" width="16.5703125" customWidth="1"/>
    <col min="7429" max="7429" width="0" hidden="1" customWidth="1"/>
    <col min="7430" max="7431" width="16.42578125" customWidth="1"/>
    <col min="7432" max="7432" width="0" hidden="1" customWidth="1"/>
    <col min="7433" max="7433" width="17.5703125" customWidth="1"/>
    <col min="7434" max="7434" width="0" hidden="1" customWidth="1"/>
    <col min="7435" max="7435" width="16.7109375" customWidth="1"/>
    <col min="7436" max="7436" width="0" hidden="1" customWidth="1"/>
    <col min="7437" max="7437" width="17.7109375" customWidth="1"/>
    <col min="7438" max="7438" width="0" hidden="1" customWidth="1"/>
    <col min="7439" max="7439" width="18.140625" customWidth="1"/>
    <col min="7440" max="7440" width="0" hidden="1" customWidth="1"/>
    <col min="7441" max="7441" width="16.85546875" customWidth="1"/>
    <col min="7446" max="7447" width="11" bestFit="1" customWidth="1"/>
    <col min="7669" max="7669" width="7.85546875" bestFit="1" customWidth="1"/>
    <col min="7670" max="7670" width="64" customWidth="1"/>
    <col min="7671" max="7671" width="0" hidden="1" customWidth="1"/>
    <col min="7672" max="7672" width="18" customWidth="1"/>
    <col min="7673" max="7682" width="0" hidden="1" customWidth="1"/>
    <col min="7683" max="7683" width="16.85546875" customWidth="1"/>
    <col min="7684" max="7684" width="16.5703125" customWidth="1"/>
    <col min="7685" max="7685" width="0" hidden="1" customWidth="1"/>
    <col min="7686" max="7687" width="16.42578125" customWidth="1"/>
    <col min="7688" max="7688" width="0" hidden="1" customWidth="1"/>
    <col min="7689" max="7689" width="17.5703125" customWidth="1"/>
    <col min="7690" max="7690" width="0" hidden="1" customWidth="1"/>
    <col min="7691" max="7691" width="16.7109375" customWidth="1"/>
    <col min="7692" max="7692" width="0" hidden="1" customWidth="1"/>
    <col min="7693" max="7693" width="17.7109375" customWidth="1"/>
    <col min="7694" max="7694" width="0" hidden="1" customWidth="1"/>
    <col min="7695" max="7695" width="18.140625" customWidth="1"/>
    <col min="7696" max="7696" width="0" hidden="1" customWidth="1"/>
    <col min="7697" max="7697" width="16.85546875" customWidth="1"/>
    <col min="7702" max="7703" width="11" bestFit="1" customWidth="1"/>
    <col min="7925" max="7925" width="7.85546875" bestFit="1" customWidth="1"/>
    <col min="7926" max="7926" width="64" customWidth="1"/>
    <col min="7927" max="7927" width="0" hidden="1" customWidth="1"/>
    <col min="7928" max="7928" width="18" customWidth="1"/>
    <col min="7929" max="7938" width="0" hidden="1" customWidth="1"/>
    <col min="7939" max="7939" width="16.85546875" customWidth="1"/>
    <col min="7940" max="7940" width="16.5703125" customWidth="1"/>
    <col min="7941" max="7941" width="0" hidden="1" customWidth="1"/>
    <col min="7942" max="7943" width="16.42578125" customWidth="1"/>
    <col min="7944" max="7944" width="0" hidden="1" customWidth="1"/>
    <col min="7945" max="7945" width="17.5703125" customWidth="1"/>
    <col min="7946" max="7946" width="0" hidden="1" customWidth="1"/>
    <col min="7947" max="7947" width="16.7109375" customWidth="1"/>
    <col min="7948" max="7948" width="0" hidden="1" customWidth="1"/>
    <col min="7949" max="7949" width="17.7109375" customWidth="1"/>
    <col min="7950" max="7950" width="0" hidden="1" customWidth="1"/>
    <col min="7951" max="7951" width="18.140625" customWidth="1"/>
    <col min="7952" max="7952" width="0" hidden="1" customWidth="1"/>
    <col min="7953" max="7953" width="16.85546875" customWidth="1"/>
    <col min="7958" max="7959" width="11" bestFit="1" customWidth="1"/>
    <col min="8181" max="8181" width="7.85546875" bestFit="1" customWidth="1"/>
    <col min="8182" max="8182" width="64" customWidth="1"/>
    <col min="8183" max="8183" width="0" hidden="1" customWidth="1"/>
    <col min="8184" max="8184" width="18" customWidth="1"/>
    <col min="8185" max="8194" width="0" hidden="1" customWidth="1"/>
    <col min="8195" max="8195" width="16.85546875" customWidth="1"/>
    <col min="8196" max="8196" width="16.5703125" customWidth="1"/>
    <col min="8197" max="8197" width="0" hidden="1" customWidth="1"/>
    <col min="8198" max="8199" width="16.42578125" customWidth="1"/>
    <col min="8200" max="8200" width="0" hidden="1" customWidth="1"/>
    <col min="8201" max="8201" width="17.5703125" customWidth="1"/>
    <col min="8202" max="8202" width="0" hidden="1" customWidth="1"/>
    <col min="8203" max="8203" width="16.7109375" customWidth="1"/>
    <col min="8204" max="8204" width="0" hidden="1" customWidth="1"/>
    <col min="8205" max="8205" width="17.7109375" customWidth="1"/>
    <col min="8206" max="8206" width="0" hidden="1" customWidth="1"/>
    <col min="8207" max="8207" width="18.140625" customWidth="1"/>
    <col min="8208" max="8208" width="0" hidden="1" customWidth="1"/>
    <col min="8209" max="8209" width="16.85546875" customWidth="1"/>
    <col min="8214" max="8215" width="11" bestFit="1" customWidth="1"/>
    <col min="8437" max="8437" width="7.85546875" bestFit="1" customWidth="1"/>
    <col min="8438" max="8438" width="64" customWidth="1"/>
    <col min="8439" max="8439" width="0" hidden="1" customWidth="1"/>
    <col min="8440" max="8440" width="18" customWidth="1"/>
    <col min="8441" max="8450" width="0" hidden="1" customWidth="1"/>
    <col min="8451" max="8451" width="16.85546875" customWidth="1"/>
    <col min="8452" max="8452" width="16.5703125" customWidth="1"/>
    <col min="8453" max="8453" width="0" hidden="1" customWidth="1"/>
    <col min="8454" max="8455" width="16.42578125" customWidth="1"/>
    <col min="8456" max="8456" width="0" hidden="1" customWidth="1"/>
    <col min="8457" max="8457" width="17.5703125" customWidth="1"/>
    <col min="8458" max="8458" width="0" hidden="1" customWidth="1"/>
    <col min="8459" max="8459" width="16.7109375" customWidth="1"/>
    <col min="8460" max="8460" width="0" hidden="1" customWidth="1"/>
    <col min="8461" max="8461" width="17.7109375" customWidth="1"/>
    <col min="8462" max="8462" width="0" hidden="1" customWidth="1"/>
    <col min="8463" max="8463" width="18.140625" customWidth="1"/>
    <col min="8464" max="8464" width="0" hidden="1" customWidth="1"/>
    <col min="8465" max="8465" width="16.85546875" customWidth="1"/>
    <col min="8470" max="8471" width="11" bestFit="1" customWidth="1"/>
    <col min="8693" max="8693" width="7.85546875" bestFit="1" customWidth="1"/>
    <col min="8694" max="8694" width="64" customWidth="1"/>
    <col min="8695" max="8695" width="0" hidden="1" customWidth="1"/>
    <col min="8696" max="8696" width="18" customWidth="1"/>
    <col min="8697" max="8706" width="0" hidden="1" customWidth="1"/>
    <col min="8707" max="8707" width="16.85546875" customWidth="1"/>
    <col min="8708" max="8708" width="16.5703125" customWidth="1"/>
    <col min="8709" max="8709" width="0" hidden="1" customWidth="1"/>
    <col min="8710" max="8711" width="16.42578125" customWidth="1"/>
    <col min="8712" max="8712" width="0" hidden="1" customWidth="1"/>
    <col min="8713" max="8713" width="17.5703125" customWidth="1"/>
    <col min="8714" max="8714" width="0" hidden="1" customWidth="1"/>
    <col min="8715" max="8715" width="16.7109375" customWidth="1"/>
    <col min="8716" max="8716" width="0" hidden="1" customWidth="1"/>
    <col min="8717" max="8717" width="17.7109375" customWidth="1"/>
    <col min="8718" max="8718" width="0" hidden="1" customWidth="1"/>
    <col min="8719" max="8719" width="18.140625" customWidth="1"/>
    <col min="8720" max="8720" width="0" hidden="1" customWidth="1"/>
    <col min="8721" max="8721" width="16.85546875" customWidth="1"/>
    <col min="8726" max="8727" width="11" bestFit="1" customWidth="1"/>
    <col min="8949" max="8949" width="7.85546875" bestFit="1" customWidth="1"/>
    <col min="8950" max="8950" width="64" customWidth="1"/>
    <col min="8951" max="8951" width="0" hidden="1" customWidth="1"/>
    <col min="8952" max="8952" width="18" customWidth="1"/>
    <col min="8953" max="8962" width="0" hidden="1" customWidth="1"/>
    <col min="8963" max="8963" width="16.85546875" customWidth="1"/>
    <col min="8964" max="8964" width="16.5703125" customWidth="1"/>
    <col min="8965" max="8965" width="0" hidden="1" customWidth="1"/>
    <col min="8966" max="8967" width="16.42578125" customWidth="1"/>
    <col min="8968" max="8968" width="0" hidden="1" customWidth="1"/>
    <col min="8969" max="8969" width="17.5703125" customWidth="1"/>
    <col min="8970" max="8970" width="0" hidden="1" customWidth="1"/>
    <col min="8971" max="8971" width="16.7109375" customWidth="1"/>
    <col min="8972" max="8972" width="0" hidden="1" customWidth="1"/>
    <col min="8973" max="8973" width="17.7109375" customWidth="1"/>
    <col min="8974" max="8974" width="0" hidden="1" customWidth="1"/>
    <col min="8975" max="8975" width="18.140625" customWidth="1"/>
    <col min="8976" max="8976" width="0" hidden="1" customWidth="1"/>
    <col min="8977" max="8977" width="16.85546875" customWidth="1"/>
    <col min="8982" max="8983" width="11" bestFit="1" customWidth="1"/>
    <col min="9205" max="9205" width="7.85546875" bestFit="1" customWidth="1"/>
    <col min="9206" max="9206" width="64" customWidth="1"/>
    <col min="9207" max="9207" width="0" hidden="1" customWidth="1"/>
    <col min="9208" max="9208" width="18" customWidth="1"/>
    <col min="9209" max="9218" width="0" hidden="1" customWidth="1"/>
    <col min="9219" max="9219" width="16.85546875" customWidth="1"/>
    <col min="9220" max="9220" width="16.5703125" customWidth="1"/>
    <col min="9221" max="9221" width="0" hidden="1" customWidth="1"/>
    <col min="9222" max="9223" width="16.42578125" customWidth="1"/>
    <col min="9224" max="9224" width="0" hidden="1" customWidth="1"/>
    <col min="9225" max="9225" width="17.5703125" customWidth="1"/>
    <col min="9226" max="9226" width="0" hidden="1" customWidth="1"/>
    <col min="9227" max="9227" width="16.7109375" customWidth="1"/>
    <col min="9228" max="9228" width="0" hidden="1" customWidth="1"/>
    <col min="9229" max="9229" width="17.7109375" customWidth="1"/>
    <col min="9230" max="9230" width="0" hidden="1" customWidth="1"/>
    <col min="9231" max="9231" width="18.140625" customWidth="1"/>
    <col min="9232" max="9232" width="0" hidden="1" customWidth="1"/>
    <col min="9233" max="9233" width="16.85546875" customWidth="1"/>
    <col min="9238" max="9239" width="11" bestFit="1" customWidth="1"/>
    <col min="9461" max="9461" width="7.85546875" bestFit="1" customWidth="1"/>
    <col min="9462" max="9462" width="64" customWidth="1"/>
    <col min="9463" max="9463" width="0" hidden="1" customWidth="1"/>
    <col min="9464" max="9464" width="18" customWidth="1"/>
    <col min="9465" max="9474" width="0" hidden="1" customWidth="1"/>
    <col min="9475" max="9475" width="16.85546875" customWidth="1"/>
    <col min="9476" max="9476" width="16.5703125" customWidth="1"/>
    <col min="9477" max="9477" width="0" hidden="1" customWidth="1"/>
    <col min="9478" max="9479" width="16.42578125" customWidth="1"/>
    <col min="9480" max="9480" width="0" hidden="1" customWidth="1"/>
    <col min="9481" max="9481" width="17.5703125" customWidth="1"/>
    <col min="9482" max="9482" width="0" hidden="1" customWidth="1"/>
    <col min="9483" max="9483" width="16.7109375" customWidth="1"/>
    <col min="9484" max="9484" width="0" hidden="1" customWidth="1"/>
    <col min="9485" max="9485" width="17.7109375" customWidth="1"/>
    <col min="9486" max="9486" width="0" hidden="1" customWidth="1"/>
    <col min="9487" max="9487" width="18.140625" customWidth="1"/>
    <col min="9488" max="9488" width="0" hidden="1" customWidth="1"/>
    <col min="9489" max="9489" width="16.85546875" customWidth="1"/>
    <col min="9494" max="9495" width="11" bestFit="1" customWidth="1"/>
    <col min="9717" max="9717" width="7.85546875" bestFit="1" customWidth="1"/>
    <col min="9718" max="9718" width="64" customWidth="1"/>
    <col min="9719" max="9719" width="0" hidden="1" customWidth="1"/>
    <col min="9720" max="9720" width="18" customWidth="1"/>
    <col min="9721" max="9730" width="0" hidden="1" customWidth="1"/>
    <col min="9731" max="9731" width="16.85546875" customWidth="1"/>
    <col min="9732" max="9732" width="16.5703125" customWidth="1"/>
    <col min="9733" max="9733" width="0" hidden="1" customWidth="1"/>
    <col min="9734" max="9735" width="16.42578125" customWidth="1"/>
    <col min="9736" max="9736" width="0" hidden="1" customWidth="1"/>
    <col min="9737" max="9737" width="17.5703125" customWidth="1"/>
    <col min="9738" max="9738" width="0" hidden="1" customWidth="1"/>
    <col min="9739" max="9739" width="16.7109375" customWidth="1"/>
    <col min="9740" max="9740" width="0" hidden="1" customWidth="1"/>
    <col min="9741" max="9741" width="17.7109375" customWidth="1"/>
    <col min="9742" max="9742" width="0" hidden="1" customWidth="1"/>
    <col min="9743" max="9743" width="18.140625" customWidth="1"/>
    <col min="9744" max="9744" width="0" hidden="1" customWidth="1"/>
    <col min="9745" max="9745" width="16.85546875" customWidth="1"/>
    <col min="9750" max="9751" width="11" bestFit="1" customWidth="1"/>
    <col min="9973" max="9973" width="7.85546875" bestFit="1" customWidth="1"/>
    <col min="9974" max="9974" width="64" customWidth="1"/>
    <col min="9975" max="9975" width="0" hidden="1" customWidth="1"/>
    <col min="9976" max="9976" width="18" customWidth="1"/>
    <col min="9977" max="9986" width="0" hidden="1" customWidth="1"/>
    <col min="9987" max="9987" width="16.85546875" customWidth="1"/>
    <col min="9988" max="9988" width="16.5703125" customWidth="1"/>
    <col min="9989" max="9989" width="0" hidden="1" customWidth="1"/>
    <col min="9990" max="9991" width="16.42578125" customWidth="1"/>
    <col min="9992" max="9992" width="0" hidden="1" customWidth="1"/>
    <col min="9993" max="9993" width="17.5703125" customWidth="1"/>
    <col min="9994" max="9994" width="0" hidden="1" customWidth="1"/>
    <col min="9995" max="9995" width="16.7109375" customWidth="1"/>
    <col min="9996" max="9996" width="0" hidden="1" customWidth="1"/>
    <col min="9997" max="9997" width="17.7109375" customWidth="1"/>
    <col min="9998" max="9998" width="0" hidden="1" customWidth="1"/>
    <col min="9999" max="9999" width="18.140625" customWidth="1"/>
    <col min="10000" max="10000" width="0" hidden="1" customWidth="1"/>
    <col min="10001" max="10001" width="16.85546875" customWidth="1"/>
    <col min="10006" max="10007" width="11" bestFit="1" customWidth="1"/>
    <col min="10229" max="10229" width="7.85546875" bestFit="1" customWidth="1"/>
    <col min="10230" max="10230" width="64" customWidth="1"/>
    <col min="10231" max="10231" width="0" hidden="1" customWidth="1"/>
    <col min="10232" max="10232" width="18" customWidth="1"/>
    <col min="10233" max="10242" width="0" hidden="1" customWidth="1"/>
    <col min="10243" max="10243" width="16.85546875" customWidth="1"/>
    <col min="10244" max="10244" width="16.5703125" customWidth="1"/>
    <col min="10245" max="10245" width="0" hidden="1" customWidth="1"/>
    <col min="10246" max="10247" width="16.42578125" customWidth="1"/>
    <col min="10248" max="10248" width="0" hidden="1" customWidth="1"/>
    <col min="10249" max="10249" width="17.5703125" customWidth="1"/>
    <col min="10250" max="10250" width="0" hidden="1" customWidth="1"/>
    <col min="10251" max="10251" width="16.7109375" customWidth="1"/>
    <col min="10252" max="10252" width="0" hidden="1" customWidth="1"/>
    <col min="10253" max="10253" width="17.7109375" customWidth="1"/>
    <col min="10254" max="10254" width="0" hidden="1" customWidth="1"/>
    <col min="10255" max="10255" width="18.140625" customWidth="1"/>
    <col min="10256" max="10256" width="0" hidden="1" customWidth="1"/>
    <col min="10257" max="10257" width="16.85546875" customWidth="1"/>
    <col min="10262" max="10263" width="11" bestFit="1" customWidth="1"/>
    <col min="10485" max="10485" width="7.85546875" bestFit="1" customWidth="1"/>
    <col min="10486" max="10486" width="64" customWidth="1"/>
    <col min="10487" max="10487" width="0" hidden="1" customWidth="1"/>
    <col min="10488" max="10488" width="18" customWidth="1"/>
    <col min="10489" max="10498" width="0" hidden="1" customWidth="1"/>
    <col min="10499" max="10499" width="16.85546875" customWidth="1"/>
    <col min="10500" max="10500" width="16.5703125" customWidth="1"/>
    <col min="10501" max="10501" width="0" hidden="1" customWidth="1"/>
    <col min="10502" max="10503" width="16.42578125" customWidth="1"/>
    <col min="10504" max="10504" width="0" hidden="1" customWidth="1"/>
    <col min="10505" max="10505" width="17.5703125" customWidth="1"/>
    <col min="10506" max="10506" width="0" hidden="1" customWidth="1"/>
    <col min="10507" max="10507" width="16.7109375" customWidth="1"/>
    <col min="10508" max="10508" width="0" hidden="1" customWidth="1"/>
    <col min="10509" max="10509" width="17.7109375" customWidth="1"/>
    <col min="10510" max="10510" width="0" hidden="1" customWidth="1"/>
    <col min="10511" max="10511" width="18.140625" customWidth="1"/>
    <col min="10512" max="10512" width="0" hidden="1" customWidth="1"/>
    <col min="10513" max="10513" width="16.85546875" customWidth="1"/>
    <col min="10518" max="10519" width="11" bestFit="1" customWidth="1"/>
    <col min="10741" max="10741" width="7.85546875" bestFit="1" customWidth="1"/>
    <col min="10742" max="10742" width="64" customWidth="1"/>
    <col min="10743" max="10743" width="0" hidden="1" customWidth="1"/>
    <col min="10744" max="10744" width="18" customWidth="1"/>
    <col min="10745" max="10754" width="0" hidden="1" customWidth="1"/>
    <col min="10755" max="10755" width="16.85546875" customWidth="1"/>
    <col min="10756" max="10756" width="16.5703125" customWidth="1"/>
    <col min="10757" max="10757" width="0" hidden="1" customWidth="1"/>
    <col min="10758" max="10759" width="16.42578125" customWidth="1"/>
    <col min="10760" max="10760" width="0" hidden="1" customWidth="1"/>
    <col min="10761" max="10761" width="17.5703125" customWidth="1"/>
    <col min="10762" max="10762" width="0" hidden="1" customWidth="1"/>
    <col min="10763" max="10763" width="16.7109375" customWidth="1"/>
    <col min="10764" max="10764" width="0" hidden="1" customWidth="1"/>
    <col min="10765" max="10765" width="17.7109375" customWidth="1"/>
    <col min="10766" max="10766" width="0" hidden="1" customWidth="1"/>
    <col min="10767" max="10767" width="18.140625" customWidth="1"/>
    <col min="10768" max="10768" width="0" hidden="1" customWidth="1"/>
    <col min="10769" max="10769" width="16.85546875" customWidth="1"/>
    <col min="10774" max="10775" width="11" bestFit="1" customWidth="1"/>
    <col min="10997" max="10997" width="7.85546875" bestFit="1" customWidth="1"/>
    <col min="10998" max="10998" width="64" customWidth="1"/>
    <col min="10999" max="10999" width="0" hidden="1" customWidth="1"/>
    <col min="11000" max="11000" width="18" customWidth="1"/>
    <col min="11001" max="11010" width="0" hidden="1" customWidth="1"/>
    <col min="11011" max="11011" width="16.85546875" customWidth="1"/>
    <col min="11012" max="11012" width="16.5703125" customWidth="1"/>
    <col min="11013" max="11013" width="0" hidden="1" customWidth="1"/>
    <col min="11014" max="11015" width="16.42578125" customWidth="1"/>
    <col min="11016" max="11016" width="0" hidden="1" customWidth="1"/>
    <col min="11017" max="11017" width="17.5703125" customWidth="1"/>
    <col min="11018" max="11018" width="0" hidden="1" customWidth="1"/>
    <col min="11019" max="11019" width="16.7109375" customWidth="1"/>
    <col min="11020" max="11020" width="0" hidden="1" customWidth="1"/>
    <col min="11021" max="11021" width="17.7109375" customWidth="1"/>
    <col min="11022" max="11022" width="0" hidden="1" customWidth="1"/>
    <col min="11023" max="11023" width="18.140625" customWidth="1"/>
    <col min="11024" max="11024" width="0" hidden="1" customWidth="1"/>
    <col min="11025" max="11025" width="16.85546875" customWidth="1"/>
    <col min="11030" max="11031" width="11" bestFit="1" customWidth="1"/>
    <col min="11253" max="11253" width="7.85546875" bestFit="1" customWidth="1"/>
    <col min="11254" max="11254" width="64" customWidth="1"/>
    <col min="11255" max="11255" width="0" hidden="1" customWidth="1"/>
    <col min="11256" max="11256" width="18" customWidth="1"/>
    <col min="11257" max="11266" width="0" hidden="1" customWidth="1"/>
    <col min="11267" max="11267" width="16.85546875" customWidth="1"/>
    <col min="11268" max="11268" width="16.5703125" customWidth="1"/>
    <col min="11269" max="11269" width="0" hidden="1" customWidth="1"/>
    <col min="11270" max="11271" width="16.42578125" customWidth="1"/>
    <col min="11272" max="11272" width="0" hidden="1" customWidth="1"/>
    <col min="11273" max="11273" width="17.5703125" customWidth="1"/>
    <col min="11274" max="11274" width="0" hidden="1" customWidth="1"/>
    <col min="11275" max="11275" width="16.7109375" customWidth="1"/>
    <col min="11276" max="11276" width="0" hidden="1" customWidth="1"/>
    <col min="11277" max="11277" width="17.7109375" customWidth="1"/>
    <col min="11278" max="11278" width="0" hidden="1" customWidth="1"/>
    <col min="11279" max="11279" width="18.140625" customWidth="1"/>
    <col min="11280" max="11280" width="0" hidden="1" customWidth="1"/>
    <col min="11281" max="11281" width="16.85546875" customWidth="1"/>
    <col min="11286" max="11287" width="11" bestFit="1" customWidth="1"/>
    <col min="11509" max="11509" width="7.85546875" bestFit="1" customWidth="1"/>
    <col min="11510" max="11510" width="64" customWidth="1"/>
    <col min="11511" max="11511" width="0" hidden="1" customWidth="1"/>
    <col min="11512" max="11512" width="18" customWidth="1"/>
    <col min="11513" max="11522" width="0" hidden="1" customWidth="1"/>
    <col min="11523" max="11523" width="16.85546875" customWidth="1"/>
    <col min="11524" max="11524" width="16.5703125" customWidth="1"/>
    <col min="11525" max="11525" width="0" hidden="1" customWidth="1"/>
    <col min="11526" max="11527" width="16.42578125" customWidth="1"/>
    <col min="11528" max="11528" width="0" hidden="1" customWidth="1"/>
    <col min="11529" max="11529" width="17.5703125" customWidth="1"/>
    <col min="11530" max="11530" width="0" hidden="1" customWidth="1"/>
    <col min="11531" max="11531" width="16.7109375" customWidth="1"/>
    <col min="11532" max="11532" width="0" hidden="1" customWidth="1"/>
    <col min="11533" max="11533" width="17.7109375" customWidth="1"/>
    <col min="11534" max="11534" width="0" hidden="1" customWidth="1"/>
    <col min="11535" max="11535" width="18.140625" customWidth="1"/>
    <col min="11536" max="11536" width="0" hidden="1" customWidth="1"/>
    <col min="11537" max="11537" width="16.85546875" customWidth="1"/>
    <col min="11542" max="11543" width="11" bestFit="1" customWidth="1"/>
    <col min="11765" max="11765" width="7.85546875" bestFit="1" customWidth="1"/>
    <col min="11766" max="11766" width="64" customWidth="1"/>
    <col min="11767" max="11767" width="0" hidden="1" customWidth="1"/>
    <col min="11768" max="11768" width="18" customWidth="1"/>
    <col min="11769" max="11778" width="0" hidden="1" customWidth="1"/>
    <col min="11779" max="11779" width="16.85546875" customWidth="1"/>
    <col min="11780" max="11780" width="16.5703125" customWidth="1"/>
    <col min="11781" max="11781" width="0" hidden="1" customWidth="1"/>
    <col min="11782" max="11783" width="16.42578125" customWidth="1"/>
    <col min="11784" max="11784" width="0" hidden="1" customWidth="1"/>
    <col min="11785" max="11785" width="17.5703125" customWidth="1"/>
    <col min="11786" max="11786" width="0" hidden="1" customWidth="1"/>
    <col min="11787" max="11787" width="16.7109375" customWidth="1"/>
    <col min="11788" max="11788" width="0" hidden="1" customWidth="1"/>
    <col min="11789" max="11789" width="17.7109375" customWidth="1"/>
    <col min="11790" max="11790" width="0" hidden="1" customWidth="1"/>
    <col min="11791" max="11791" width="18.140625" customWidth="1"/>
    <col min="11792" max="11792" width="0" hidden="1" customWidth="1"/>
    <col min="11793" max="11793" width="16.85546875" customWidth="1"/>
    <col min="11798" max="11799" width="11" bestFit="1" customWidth="1"/>
    <col min="12021" max="12021" width="7.85546875" bestFit="1" customWidth="1"/>
    <col min="12022" max="12022" width="64" customWidth="1"/>
    <col min="12023" max="12023" width="0" hidden="1" customWidth="1"/>
    <col min="12024" max="12024" width="18" customWidth="1"/>
    <col min="12025" max="12034" width="0" hidden="1" customWidth="1"/>
    <col min="12035" max="12035" width="16.85546875" customWidth="1"/>
    <col min="12036" max="12036" width="16.5703125" customWidth="1"/>
    <col min="12037" max="12037" width="0" hidden="1" customWidth="1"/>
    <col min="12038" max="12039" width="16.42578125" customWidth="1"/>
    <col min="12040" max="12040" width="0" hidden="1" customWidth="1"/>
    <col min="12041" max="12041" width="17.5703125" customWidth="1"/>
    <col min="12042" max="12042" width="0" hidden="1" customWidth="1"/>
    <col min="12043" max="12043" width="16.7109375" customWidth="1"/>
    <col min="12044" max="12044" width="0" hidden="1" customWidth="1"/>
    <col min="12045" max="12045" width="17.7109375" customWidth="1"/>
    <col min="12046" max="12046" width="0" hidden="1" customWidth="1"/>
    <col min="12047" max="12047" width="18.140625" customWidth="1"/>
    <col min="12048" max="12048" width="0" hidden="1" customWidth="1"/>
    <col min="12049" max="12049" width="16.85546875" customWidth="1"/>
    <col min="12054" max="12055" width="11" bestFit="1" customWidth="1"/>
    <col min="12277" max="12277" width="7.85546875" bestFit="1" customWidth="1"/>
    <col min="12278" max="12278" width="64" customWidth="1"/>
    <col min="12279" max="12279" width="0" hidden="1" customWidth="1"/>
    <col min="12280" max="12280" width="18" customWidth="1"/>
    <col min="12281" max="12290" width="0" hidden="1" customWidth="1"/>
    <col min="12291" max="12291" width="16.85546875" customWidth="1"/>
    <col min="12292" max="12292" width="16.5703125" customWidth="1"/>
    <col min="12293" max="12293" width="0" hidden="1" customWidth="1"/>
    <col min="12294" max="12295" width="16.42578125" customWidth="1"/>
    <col min="12296" max="12296" width="0" hidden="1" customWidth="1"/>
    <col min="12297" max="12297" width="17.5703125" customWidth="1"/>
    <col min="12298" max="12298" width="0" hidden="1" customWidth="1"/>
    <col min="12299" max="12299" width="16.7109375" customWidth="1"/>
    <col min="12300" max="12300" width="0" hidden="1" customWidth="1"/>
    <col min="12301" max="12301" width="17.7109375" customWidth="1"/>
    <col min="12302" max="12302" width="0" hidden="1" customWidth="1"/>
    <col min="12303" max="12303" width="18.140625" customWidth="1"/>
    <col min="12304" max="12304" width="0" hidden="1" customWidth="1"/>
    <col min="12305" max="12305" width="16.85546875" customWidth="1"/>
    <col min="12310" max="12311" width="11" bestFit="1" customWidth="1"/>
    <col min="12533" max="12533" width="7.85546875" bestFit="1" customWidth="1"/>
    <col min="12534" max="12534" width="64" customWidth="1"/>
    <col min="12535" max="12535" width="0" hidden="1" customWidth="1"/>
    <col min="12536" max="12536" width="18" customWidth="1"/>
    <col min="12537" max="12546" width="0" hidden="1" customWidth="1"/>
    <col min="12547" max="12547" width="16.85546875" customWidth="1"/>
    <col min="12548" max="12548" width="16.5703125" customWidth="1"/>
    <col min="12549" max="12549" width="0" hidden="1" customWidth="1"/>
    <col min="12550" max="12551" width="16.42578125" customWidth="1"/>
    <col min="12552" max="12552" width="0" hidden="1" customWidth="1"/>
    <col min="12553" max="12553" width="17.5703125" customWidth="1"/>
    <col min="12554" max="12554" width="0" hidden="1" customWidth="1"/>
    <col min="12555" max="12555" width="16.7109375" customWidth="1"/>
    <col min="12556" max="12556" width="0" hidden="1" customWidth="1"/>
    <col min="12557" max="12557" width="17.7109375" customWidth="1"/>
    <col min="12558" max="12558" width="0" hidden="1" customWidth="1"/>
    <col min="12559" max="12559" width="18.140625" customWidth="1"/>
    <col min="12560" max="12560" width="0" hidden="1" customWidth="1"/>
    <col min="12561" max="12561" width="16.85546875" customWidth="1"/>
    <col min="12566" max="12567" width="11" bestFit="1" customWidth="1"/>
    <col min="12789" max="12789" width="7.85546875" bestFit="1" customWidth="1"/>
    <col min="12790" max="12790" width="64" customWidth="1"/>
    <col min="12791" max="12791" width="0" hidden="1" customWidth="1"/>
    <col min="12792" max="12792" width="18" customWidth="1"/>
    <col min="12793" max="12802" width="0" hidden="1" customWidth="1"/>
    <col min="12803" max="12803" width="16.85546875" customWidth="1"/>
    <col min="12804" max="12804" width="16.5703125" customWidth="1"/>
    <col min="12805" max="12805" width="0" hidden="1" customWidth="1"/>
    <col min="12806" max="12807" width="16.42578125" customWidth="1"/>
    <col min="12808" max="12808" width="0" hidden="1" customWidth="1"/>
    <col min="12809" max="12809" width="17.5703125" customWidth="1"/>
    <col min="12810" max="12810" width="0" hidden="1" customWidth="1"/>
    <col min="12811" max="12811" width="16.7109375" customWidth="1"/>
    <col min="12812" max="12812" width="0" hidden="1" customWidth="1"/>
    <col min="12813" max="12813" width="17.7109375" customWidth="1"/>
    <col min="12814" max="12814" width="0" hidden="1" customWidth="1"/>
    <col min="12815" max="12815" width="18.140625" customWidth="1"/>
    <col min="12816" max="12816" width="0" hidden="1" customWidth="1"/>
    <col min="12817" max="12817" width="16.85546875" customWidth="1"/>
    <col min="12822" max="12823" width="11" bestFit="1" customWidth="1"/>
    <col min="13045" max="13045" width="7.85546875" bestFit="1" customWidth="1"/>
    <col min="13046" max="13046" width="64" customWidth="1"/>
    <col min="13047" max="13047" width="0" hidden="1" customWidth="1"/>
    <col min="13048" max="13048" width="18" customWidth="1"/>
    <col min="13049" max="13058" width="0" hidden="1" customWidth="1"/>
    <col min="13059" max="13059" width="16.85546875" customWidth="1"/>
    <col min="13060" max="13060" width="16.5703125" customWidth="1"/>
    <col min="13061" max="13061" width="0" hidden="1" customWidth="1"/>
    <col min="13062" max="13063" width="16.42578125" customWidth="1"/>
    <col min="13064" max="13064" width="0" hidden="1" customWidth="1"/>
    <col min="13065" max="13065" width="17.5703125" customWidth="1"/>
    <col min="13066" max="13066" width="0" hidden="1" customWidth="1"/>
    <col min="13067" max="13067" width="16.7109375" customWidth="1"/>
    <col min="13068" max="13068" width="0" hidden="1" customWidth="1"/>
    <col min="13069" max="13069" width="17.7109375" customWidth="1"/>
    <col min="13070" max="13070" width="0" hidden="1" customWidth="1"/>
    <col min="13071" max="13071" width="18.140625" customWidth="1"/>
    <col min="13072" max="13072" width="0" hidden="1" customWidth="1"/>
    <col min="13073" max="13073" width="16.85546875" customWidth="1"/>
    <col min="13078" max="13079" width="11" bestFit="1" customWidth="1"/>
    <col min="13301" max="13301" width="7.85546875" bestFit="1" customWidth="1"/>
    <col min="13302" max="13302" width="64" customWidth="1"/>
    <col min="13303" max="13303" width="0" hidden="1" customWidth="1"/>
    <col min="13304" max="13304" width="18" customWidth="1"/>
    <col min="13305" max="13314" width="0" hidden="1" customWidth="1"/>
    <col min="13315" max="13315" width="16.85546875" customWidth="1"/>
    <col min="13316" max="13316" width="16.5703125" customWidth="1"/>
    <col min="13317" max="13317" width="0" hidden="1" customWidth="1"/>
    <col min="13318" max="13319" width="16.42578125" customWidth="1"/>
    <col min="13320" max="13320" width="0" hidden="1" customWidth="1"/>
    <col min="13321" max="13321" width="17.5703125" customWidth="1"/>
    <col min="13322" max="13322" width="0" hidden="1" customWidth="1"/>
    <col min="13323" max="13323" width="16.7109375" customWidth="1"/>
    <col min="13324" max="13324" width="0" hidden="1" customWidth="1"/>
    <col min="13325" max="13325" width="17.7109375" customWidth="1"/>
    <col min="13326" max="13326" width="0" hidden="1" customWidth="1"/>
    <col min="13327" max="13327" width="18.140625" customWidth="1"/>
    <col min="13328" max="13328" width="0" hidden="1" customWidth="1"/>
    <col min="13329" max="13329" width="16.85546875" customWidth="1"/>
    <col min="13334" max="13335" width="11" bestFit="1" customWidth="1"/>
    <col min="13557" max="13557" width="7.85546875" bestFit="1" customWidth="1"/>
    <col min="13558" max="13558" width="64" customWidth="1"/>
    <col min="13559" max="13559" width="0" hidden="1" customWidth="1"/>
    <col min="13560" max="13560" width="18" customWidth="1"/>
    <col min="13561" max="13570" width="0" hidden="1" customWidth="1"/>
    <col min="13571" max="13571" width="16.85546875" customWidth="1"/>
    <col min="13572" max="13572" width="16.5703125" customWidth="1"/>
    <col min="13573" max="13573" width="0" hidden="1" customWidth="1"/>
    <col min="13574" max="13575" width="16.42578125" customWidth="1"/>
    <col min="13576" max="13576" width="0" hidden="1" customWidth="1"/>
    <col min="13577" max="13577" width="17.5703125" customWidth="1"/>
    <col min="13578" max="13578" width="0" hidden="1" customWidth="1"/>
    <col min="13579" max="13579" width="16.7109375" customWidth="1"/>
    <col min="13580" max="13580" width="0" hidden="1" customWidth="1"/>
    <col min="13581" max="13581" width="17.7109375" customWidth="1"/>
    <col min="13582" max="13582" width="0" hidden="1" customWidth="1"/>
    <col min="13583" max="13583" width="18.140625" customWidth="1"/>
    <col min="13584" max="13584" width="0" hidden="1" customWidth="1"/>
    <col min="13585" max="13585" width="16.85546875" customWidth="1"/>
    <col min="13590" max="13591" width="11" bestFit="1" customWidth="1"/>
    <col min="13813" max="13813" width="7.85546875" bestFit="1" customWidth="1"/>
    <col min="13814" max="13814" width="64" customWidth="1"/>
    <col min="13815" max="13815" width="0" hidden="1" customWidth="1"/>
    <col min="13816" max="13816" width="18" customWidth="1"/>
    <col min="13817" max="13826" width="0" hidden="1" customWidth="1"/>
    <col min="13827" max="13827" width="16.85546875" customWidth="1"/>
    <col min="13828" max="13828" width="16.5703125" customWidth="1"/>
    <col min="13829" max="13829" width="0" hidden="1" customWidth="1"/>
    <col min="13830" max="13831" width="16.42578125" customWidth="1"/>
    <col min="13832" max="13832" width="0" hidden="1" customWidth="1"/>
    <col min="13833" max="13833" width="17.5703125" customWidth="1"/>
    <col min="13834" max="13834" width="0" hidden="1" customWidth="1"/>
    <col min="13835" max="13835" width="16.7109375" customWidth="1"/>
    <col min="13836" max="13836" width="0" hidden="1" customWidth="1"/>
    <col min="13837" max="13837" width="17.7109375" customWidth="1"/>
    <col min="13838" max="13838" width="0" hidden="1" customWidth="1"/>
    <col min="13839" max="13839" width="18.140625" customWidth="1"/>
    <col min="13840" max="13840" width="0" hidden="1" customWidth="1"/>
    <col min="13841" max="13841" width="16.85546875" customWidth="1"/>
    <col min="13846" max="13847" width="11" bestFit="1" customWidth="1"/>
    <col min="14069" max="14069" width="7.85546875" bestFit="1" customWidth="1"/>
    <col min="14070" max="14070" width="64" customWidth="1"/>
    <col min="14071" max="14071" width="0" hidden="1" customWidth="1"/>
    <col min="14072" max="14072" width="18" customWidth="1"/>
    <col min="14073" max="14082" width="0" hidden="1" customWidth="1"/>
    <col min="14083" max="14083" width="16.85546875" customWidth="1"/>
    <col min="14084" max="14084" width="16.5703125" customWidth="1"/>
    <col min="14085" max="14085" width="0" hidden="1" customWidth="1"/>
    <col min="14086" max="14087" width="16.42578125" customWidth="1"/>
    <col min="14088" max="14088" width="0" hidden="1" customWidth="1"/>
    <col min="14089" max="14089" width="17.5703125" customWidth="1"/>
    <col min="14090" max="14090" width="0" hidden="1" customWidth="1"/>
    <col min="14091" max="14091" width="16.7109375" customWidth="1"/>
    <col min="14092" max="14092" width="0" hidden="1" customWidth="1"/>
    <col min="14093" max="14093" width="17.7109375" customWidth="1"/>
    <col min="14094" max="14094" width="0" hidden="1" customWidth="1"/>
    <col min="14095" max="14095" width="18.140625" customWidth="1"/>
    <col min="14096" max="14096" width="0" hidden="1" customWidth="1"/>
    <col min="14097" max="14097" width="16.85546875" customWidth="1"/>
    <col min="14102" max="14103" width="11" bestFit="1" customWidth="1"/>
    <col min="14325" max="14325" width="7.85546875" bestFit="1" customWidth="1"/>
    <col min="14326" max="14326" width="64" customWidth="1"/>
    <col min="14327" max="14327" width="0" hidden="1" customWidth="1"/>
    <col min="14328" max="14328" width="18" customWidth="1"/>
    <col min="14329" max="14338" width="0" hidden="1" customWidth="1"/>
    <col min="14339" max="14339" width="16.85546875" customWidth="1"/>
    <col min="14340" max="14340" width="16.5703125" customWidth="1"/>
    <col min="14341" max="14341" width="0" hidden="1" customWidth="1"/>
    <col min="14342" max="14343" width="16.42578125" customWidth="1"/>
    <col min="14344" max="14344" width="0" hidden="1" customWidth="1"/>
    <col min="14345" max="14345" width="17.5703125" customWidth="1"/>
    <col min="14346" max="14346" width="0" hidden="1" customWidth="1"/>
    <col min="14347" max="14347" width="16.7109375" customWidth="1"/>
    <col min="14348" max="14348" width="0" hidden="1" customWidth="1"/>
    <col min="14349" max="14349" width="17.7109375" customWidth="1"/>
    <col min="14350" max="14350" width="0" hidden="1" customWidth="1"/>
    <col min="14351" max="14351" width="18.140625" customWidth="1"/>
    <col min="14352" max="14352" width="0" hidden="1" customWidth="1"/>
    <col min="14353" max="14353" width="16.85546875" customWidth="1"/>
    <col min="14358" max="14359" width="11" bestFit="1" customWidth="1"/>
    <col min="14581" max="14581" width="7.85546875" bestFit="1" customWidth="1"/>
    <col min="14582" max="14582" width="64" customWidth="1"/>
    <col min="14583" max="14583" width="0" hidden="1" customWidth="1"/>
    <col min="14584" max="14584" width="18" customWidth="1"/>
    <col min="14585" max="14594" width="0" hidden="1" customWidth="1"/>
    <col min="14595" max="14595" width="16.85546875" customWidth="1"/>
    <col min="14596" max="14596" width="16.5703125" customWidth="1"/>
    <col min="14597" max="14597" width="0" hidden="1" customWidth="1"/>
    <col min="14598" max="14599" width="16.42578125" customWidth="1"/>
    <col min="14600" max="14600" width="0" hidden="1" customWidth="1"/>
    <col min="14601" max="14601" width="17.5703125" customWidth="1"/>
    <col min="14602" max="14602" width="0" hidden="1" customWidth="1"/>
    <col min="14603" max="14603" width="16.7109375" customWidth="1"/>
    <col min="14604" max="14604" width="0" hidden="1" customWidth="1"/>
    <col min="14605" max="14605" width="17.7109375" customWidth="1"/>
    <col min="14606" max="14606" width="0" hidden="1" customWidth="1"/>
    <col min="14607" max="14607" width="18.140625" customWidth="1"/>
    <col min="14608" max="14608" width="0" hidden="1" customWidth="1"/>
    <col min="14609" max="14609" width="16.85546875" customWidth="1"/>
    <col min="14614" max="14615" width="11" bestFit="1" customWidth="1"/>
    <col min="14837" max="14837" width="7.85546875" bestFit="1" customWidth="1"/>
    <col min="14838" max="14838" width="64" customWidth="1"/>
    <col min="14839" max="14839" width="0" hidden="1" customWidth="1"/>
    <col min="14840" max="14840" width="18" customWidth="1"/>
    <col min="14841" max="14850" width="0" hidden="1" customWidth="1"/>
    <col min="14851" max="14851" width="16.85546875" customWidth="1"/>
    <col min="14852" max="14852" width="16.5703125" customWidth="1"/>
    <col min="14853" max="14853" width="0" hidden="1" customWidth="1"/>
    <col min="14854" max="14855" width="16.42578125" customWidth="1"/>
    <col min="14856" max="14856" width="0" hidden="1" customWidth="1"/>
    <col min="14857" max="14857" width="17.5703125" customWidth="1"/>
    <col min="14858" max="14858" width="0" hidden="1" customWidth="1"/>
    <col min="14859" max="14859" width="16.7109375" customWidth="1"/>
    <col min="14860" max="14860" width="0" hidden="1" customWidth="1"/>
    <col min="14861" max="14861" width="17.7109375" customWidth="1"/>
    <col min="14862" max="14862" width="0" hidden="1" customWidth="1"/>
    <col min="14863" max="14863" width="18.140625" customWidth="1"/>
    <col min="14864" max="14864" width="0" hidden="1" customWidth="1"/>
    <col min="14865" max="14865" width="16.85546875" customWidth="1"/>
    <col min="14870" max="14871" width="11" bestFit="1" customWidth="1"/>
    <col min="15093" max="15093" width="7.85546875" bestFit="1" customWidth="1"/>
    <col min="15094" max="15094" width="64" customWidth="1"/>
    <col min="15095" max="15095" width="0" hidden="1" customWidth="1"/>
    <col min="15096" max="15096" width="18" customWidth="1"/>
    <col min="15097" max="15106" width="0" hidden="1" customWidth="1"/>
    <col min="15107" max="15107" width="16.85546875" customWidth="1"/>
    <col min="15108" max="15108" width="16.5703125" customWidth="1"/>
    <col min="15109" max="15109" width="0" hidden="1" customWidth="1"/>
    <col min="15110" max="15111" width="16.42578125" customWidth="1"/>
    <col min="15112" max="15112" width="0" hidden="1" customWidth="1"/>
    <col min="15113" max="15113" width="17.5703125" customWidth="1"/>
    <col min="15114" max="15114" width="0" hidden="1" customWidth="1"/>
    <col min="15115" max="15115" width="16.7109375" customWidth="1"/>
    <col min="15116" max="15116" width="0" hidden="1" customWidth="1"/>
    <col min="15117" max="15117" width="17.7109375" customWidth="1"/>
    <col min="15118" max="15118" width="0" hidden="1" customWidth="1"/>
    <col min="15119" max="15119" width="18.140625" customWidth="1"/>
    <col min="15120" max="15120" width="0" hidden="1" customWidth="1"/>
    <col min="15121" max="15121" width="16.85546875" customWidth="1"/>
    <col min="15126" max="15127" width="11" bestFit="1" customWidth="1"/>
    <col min="15349" max="15349" width="7.85546875" bestFit="1" customWidth="1"/>
    <col min="15350" max="15350" width="64" customWidth="1"/>
    <col min="15351" max="15351" width="0" hidden="1" customWidth="1"/>
    <col min="15352" max="15352" width="18" customWidth="1"/>
    <col min="15353" max="15362" width="0" hidden="1" customWidth="1"/>
    <col min="15363" max="15363" width="16.85546875" customWidth="1"/>
    <col min="15364" max="15364" width="16.5703125" customWidth="1"/>
    <col min="15365" max="15365" width="0" hidden="1" customWidth="1"/>
    <col min="15366" max="15367" width="16.42578125" customWidth="1"/>
    <col min="15368" max="15368" width="0" hidden="1" customWidth="1"/>
    <col min="15369" max="15369" width="17.5703125" customWidth="1"/>
    <col min="15370" max="15370" width="0" hidden="1" customWidth="1"/>
    <col min="15371" max="15371" width="16.7109375" customWidth="1"/>
    <col min="15372" max="15372" width="0" hidden="1" customWidth="1"/>
    <col min="15373" max="15373" width="17.7109375" customWidth="1"/>
    <col min="15374" max="15374" width="0" hidden="1" customWidth="1"/>
    <col min="15375" max="15375" width="18.140625" customWidth="1"/>
    <col min="15376" max="15376" width="0" hidden="1" customWidth="1"/>
    <col min="15377" max="15377" width="16.85546875" customWidth="1"/>
    <col min="15382" max="15383" width="11" bestFit="1" customWidth="1"/>
    <col min="15605" max="15605" width="7.85546875" bestFit="1" customWidth="1"/>
    <col min="15606" max="15606" width="64" customWidth="1"/>
    <col min="15607" max="15607" width="0" hidden="1" customWidth="1"/>
    <col min="15608" max="15608" width="18" customWidth="1"/>
    <col min="15609" max="15618" width="0" hidden="1" customWidth="1"/>
    <col min="15619" max="15619" width="16.85546875" customWidth="1"/>
    <col min="15620" max="15620" width="16.5703125" customWidth="1"/>
    <col min="15621" max="15621" width="0" hidden="1" customWidth="1"/>
    <col min="15622" max="15623" width="16.42578125" customWidth="1"/>
    <col min="15624" max="15624" width="0" hidden="1" customWidth="1"/>
    <col min="15625" max="15625" width="17.5703125" customWidth="1"/>
    <col min="15626" max="15626" width="0" hidden="1" customWidth="1"/>
    <col min="15627" max="15627" width="16.7109375" customWidth="1"/>
    <col min="15628" max="15628" width="0" hidden="1" customWidth="1"/>
    <col min="15629" max="15629" width="17.7109375" customWidth="1"/>
    <col min="15630" max="15630" width="0" hidden="1" customWidth="1"/>
    <col min="15631" max="15631" width="18.140625" customWidth="1"/>
    <col min="15632" max="15632" width="0" hidden="1" customWidth="1"/>
    <col min="15633" max="15633" width="16.85546875" customWidth="1"/>
    <col min="15638" max="15639" width="11" bestFit="1" customWidth="1"/>
    <col min="15861" max="15861" width="7.85546875" bestFit="1" customWidth="1"/>
    <col min="15862" max="15862" width="64" customWidth="1"/>
    <col min="15863" max="15863" width="0" hidden="1" customWidth="1"/>
    <col min="15864" max="15864" width="18" customWidth="1"/>
    <col min="15865" max="15874" width="0" hidden="1" customWidth="1"/>
    <col min="15875" max="15875" width="16.85546875" customWidth="1"/>
    <col min="15876" max="15876" width="16.5703125" customWidth="1"/>
    <col min="15877" max="15877" width="0" hidden="1" customWidth="1"/>
    <col min="15878" max="15879" width="16.42578125" customWidth="1"/>
    <col min="15880" max="15880" width="0" hidden="1" customWidth="1"/>
    <col min="15881" max="15881" width="17.5703125" customWidth="1"/>
    <col min="15882" max="15882" width="0" hidden="1" customWidth="1"/>
    <col min="15883" max="15883" width="16.7109375" customWidth="1"/>
    <col min="15884" max="15884" width="0" hidden="1" customWidth="1"/>
    <col min="15885" max="15885" width="17.7109375" customWidth="1"/>
    <col min="15886" max="15886" width="0" hidden="1" customWidth="1"/>
    <col min="15887" max="15887" width="18.140625" customWidth="1"/>
    <col min="15888" max="15888" width="0" hidden="1" customWidth="1"/>
    <col min="15889" max="15889" width="16.85546875" customWidth="1"/>
    <col min="15894" max="15895" width="11" bestFit="1" customWidth="1"/>
    <col min="16117" max="16117" width="7.85546875" bestFit="1" customWidth="1"/>
    <col min="16118" max="16118" width="64" customWidth="1"/>
    <col min="16119" max="16119" width="0" hidden="1" customWidth="1"/>
    <col min="16120" max="16120" width="18" customWidth="1"/>
    <col min="16121" max="16130" width="0" hidden="1" customWidth="1"/>
    <col min="16131" max="16131" width="16.85546875" customWidth="1"/>
    <col min="16132" max="16132" width="16.5703125" customWidth="1"/>
    <col min="16133" max="16133" width="0" hidden="1" customWidth="1"/>
    <col min="16134" max="16135" width="16.42578125" customWidth="1"/>
    <col min="16136" max="16136" width="0" hidden="1" customWidth="1"/>
    <col min="16137" max="16137" width="17.5703125" customWidth="1"/>
    <col min="16138" max="16138" width="0" hidden="1" customWidth="1"/>
    <col min="16139" max="16139" width="16.7109375" customWidth="1"/>
    <col min="16140" max="16140" width="0" hidden="1" customWidth="1"/>
    <col min="16141" max="16141" width="17.7109375" customWidth="1"/>
    <col min="16142" max="16142" width="0" hidden="1" customWidth="1"/>
    <col min="16143" max="16143" width="18.140625" customWidth="1"/>
    <col min="16144" max="16144" width="0" hidden="1" customWidth="1"/>
    <col min="16145" max="16145" width="16.85546875" customWidth="1"/>
    <col min="16150" max="16151" width="11" bestFit="1" customWidth="1"/>
  </cols>
  <sheetData>
    <row r="1" spans="1:24" outlineLevel="1">
      <c r="H1" s="1814"/>
      <c r="I1" s="1814"/>
      <c r="M1" s="2531"/>
      <c r="N1" s="2532" t="s">
        <v>845</v>
      </c>
      <c r="O1" s="2532"/>
      <c r="P1" s="2532"/>
      <c r="Q1" s="2532"/>
    </row>
    <row r="2" spans="1:24" outlineLevel="1">
      <c r="H2" s="1814"/>
      <c r="I2" s="1814"/>
      <c r="M2" s="2531"/>
      <c r="N2" s="2532" t="s">
        <v>786</v>
      </c>
      <c r="O2" s="2532"/>
      <c r="P2" s="2532"/>
      <c r="Q2" s="2532"/>
    </row>
    <row r="3" spans="1:24" outlineLevel="1">
      <c r="H3" s="1814"/>
      <c r="I3" s="1814"/>
      <c r="M3" s="2531"/>
      <c r="N3" s="2532" t="s">
        <v>294</v>
      </c>
      <c r="O3" s="2532"/>
      <c r="P3" s="2532"/>
      <c r="Q3" s="2532"/>
    </row>
    <row r="4" spans="1:24" outlineLevel="1">
      <c r="H4" s="1814"/>
      <c r="I4" s="1814">
        <f>I15/I14</f>
        <v>0.78681483346986958</v>
      </c>
      <c r="M4" s="2531"/>
      <c r="N4" s="2532" t="s">
        <v>787</v>
      </c>
      <c r="O4" s="2532"/>
      <c r="P4" s="2532"/>
      <c r="Q4" s="2532"/>
    </row>
    <row r="5" spans="1:24" s="1815" customFormat="1" outlineLevel="1">
      <c r="A5"/>
      <c r="B5"/>
      <c r="C5"/>
      <c r="D5"/>
      <c r="E5"/>
      <c r="F5"/>
      <c r="G5">
        <f>G15/G14</f>
        <v>0.77451392692255983</v>
      </c>
      <c r="H5" s="1814"/>
      <c r="I5" s="1814"/>
      <c r="J5" s="1816"/>
      <c r="K5" s="1816">
        <f>K18/K14</f>
        <v>0.9999100571713071</v>
      </c>
      <c r="L5" s="1816"/>
      <c r="M5" s="1816"/>
      <c r="N5" s="1816"/>
      <c r="O5" s="1816"/>
      <c r="P5" s="1816"/>
      <c r="Q5" s="1816"/>
      <c r="S5"/>
      <c r="T5"/>
      <c r="U5"/>
      <c r="V5"/>
      <c r="W5"/>
      <c r="X5"/>
    </row>
    <row r="6" spans="1:24" s="1815" customFormat="1">
      <c r="A6"/>
      <c r="B6"/>
      <c r="C6"/>
      <c r="D6"/>
      <c r="E6"/>
      <c r="F6"/>
      <c r="G6"/>
      <c r="H6" s="1814"/>
      <c r="I6" s="1814"/>
      <c r="J6" s="1816"/>
      <c r="K6" s="1816"/>
      <c r="L6" s="1816"/>
      <c r="M6" s="1816"/>
      <c r="N6" s="1816"/>
      <c r="O6" s="1816"/>
      <c r="P6" s="1816"/>
      <c r="Q6" s="1816"/>
      <c r="S6"/>
      <c r="T6"/>
      <c r="U6"/>
      <c r="V6"/>
      <c r="W6"/>
      <c r="X6"/>
    </row>
    <row r="7" spans="1:24" s="1815" customFormat="1" ht="2.25" customHeight="1" outlineLevel="1">
      <c r="A7" s="73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S7"/>
      <c r="T7"/>
      <c r="U7"/>
      <c r="V7"/>
      <c r="W7"/>
      <c r="X7"/>
    </row>
    <row r="8" spans="1:24" ht="15.75">
      <c r="A8" s="3507" t="s">
        <v>846</v>
      </c>
      <c r="B8" s="3507"/>
      <c r="C8" s="3507"/>
      <c r="D8" s="3507"/>
      <c r="E8" s="3507"/>
      <c r="F8" s="3507"/>
      <c r="G8" s="3507"/>
      <c r="H8" s="3507"/>
      <c r="I8" s="3507"/>
      <c r="J8" s="3507"/>
      <c r="K8" s="3507"/>
      <c r="L8" s="3507"/>
      <c r="M8" s="3507"/>
      <c r="N8" s="3507"/>
      <c r="O8" s="2528"/>
      <c r="P8" s="2528"/>
      <c r="Q8" s="2528"/>
    </row>
    <row r="9" spans="1:24" ht="15.75">
      <c r="A9" s="1812"/>
      <c r="I9">
        <f>I14/G14</f>
        <v>1.0133322666892621</v>
      </c>
      <c r="L9">
        <f>L18/L14</f>
        <v>0.99999717283206968</v>
      </c>
      <c r="M9">
        <f t="shared" ref="M9:N9" si="0">M18/M14</f>
        <v>0.99999714240745008</v>
      </c>
      <c r="N9">
        <f t="shared" si="0"/>
        <v>0.99999716189309473</v>
      </c>
    </row>
    <row r="10" spans="1:24" ht="31.5" customHeight="1">
      <c r="A10" s="3500" t="s">
        <v>0</v>
      </c>
      <c r="B10" s="3500" t="s">
        <v>1</v>
      </c>
      <c r="C10" s="3500" t="s">
        <v>789</v>
      </c>
      <c r="D10" s="3500" t="s">
        <v>1644</v>
      </c>
      <c r="E10" s="3500"/>
      <c r="F10" s="3500" t="s">
        <v>1336</v>
      </c>
      <c r="G10" s="3500"/>
      <c r="H10" s="3501" t="s">
        <v>1337</v>
      </c>
      <c r="I10" s="3502"/>
      <c r="J10" s="3501" t="s">
        <v>1338</v>
      </c>
      <c r="K10" s="3502"/>
      <c r="L10" s="3503" t="s">
        <v>1641</v>
      </c>
      <c r="M10" s="3503" t="s">
        <v>1642</v>
      </c>
      <c r="N10" s="3503" t="s">
        <v>1643</v>
      </c>
      <c r="O10" s="3500" t="s">
        <v>1460</v>
      </c>
      <c r="P10" s="3500"/>
      <c r="Q10" s="3500"/>
    </row>
    <row r="11" spans="1:24" ht="27" customHeight="1">
      <c r="A11" s="3500"/>
      <c r="B11" s="3500"/>
      <c r="C11" s="3500"/>
      <c r="D11" s="1817" t="s">
        <v>1339</v>
      </c>
      <c r="E11" s="1813" t="s">
        <v>6</v>
      </c>
      <c r="F11" s="1813" t="s">
        <v>1340</v>
      </c>
      <c r="G11" s="745" t="s">
        <v>6</v>
      </c>
      <c r="H11" s="1813" t="s">
        <v>1340</v>
      </c>
      <c r="I11" s="745" t="s">
        <v>6</v>
      </c>
      <c r="J11" s="1813" t="s">
        <v>1340</v>
      </c>
      <c r="K11" s="1818" t="s">
        <v>847</v>
      </c>
      <c r="L11" s="3504"/>
      <c r="M11" s="3504"/>
      <c r="N11" s="3504"/>
      <c r="O11" s="2527">
        <v>2016</v>
      </c>
      <c r="P11" s="2527">
        <v>2017</v>
      </c>
      <c r="Q11" s="2527">
        <v>2018</v>
      </c>
    </row>
    <row r="12" spans="1:24" s="1815" customFormat="1" ht="15.75" customHeight="1">
      <c r="A12" s="1819">
        <v>1</v>
      </c>
      <c r="B12" s="1819">
        <v>2</v>
      </c>
      <c r="C12" s="1819">
        <v>3</v>
      </c>
      <c r="D12" s="1819">
        <v>4</v>
      </c>
      <c r="E12" s="1819">
        <v>5</v>
      </c>
      <c r="F12" s="799">
        <v>4</v>
      </c>
      <c r="G12" s="799">
        <v>5</v>
      </c>
      <c r="H12" s="799">
        <v>4</v>
      </c>
      <c r="I12" s="799">
        <v>5</v>
      </c>
      <c r="J12" s="799">
        <v>6</v>
      </c>
      <c r="K12" s="1819">
        <v>7</v>
      </c>
      <c r="L12" s="1819">
        <v>8</v>
      </c>
      <c r="M12" s="1820">
        <v>9</v>
      </c>
      <c r="N12" s="1820">
        <v>10</v>
      </c>
      <c r="O12" s="1820">
        <v>11</v>
      </c>
      <c r="P12" s="1820">
        <v>12</v>
      </c>
      <c r="Q12" s="1820">
        <v>13</v>
      </c>
    </row>
    <row r="13" spans="1:24" s="762" customFormat="1" ht="15.75">
      <c r="A13" s="1821">
        <v>1</v>
      </c>
      <c r="B13" s="1822" t="s">
        <v>848</v>
      </c>
      <c r="C13" s="1821"/>
      <c r="D13" s="1823"/>
      <c r="E13" s="1823"/>
      <c r="F13" s="1821"/>
      <c r="G13" s="1821"/>
      <c r="H13" s="1824"/>
      <c r="I13" s="1824"/>
      <c r="J13" s="1824"/>
      <c r="K13" s="1825"/>
      <c r="L13" s="1824"/>
      <c r="M13" s="1824"/>
      <c r="N13" s="1824"/>
      <c r="O13" s="1824"/>
      <c r="P13" s="1824"/>
      <c r="Q13" s="1824"/>
      <c r="R13" s="1826"/>
    </row>
    <row r="14" spans="1:24" ht="15.75">
      <c r="A14" s="1827" t="s">
        <v>454</v>
      </c>
      <c r="B14" s="751" t="s">
        <v>849</v>
      </c>
      <c r="C14" s="743" t="s">
        <v>801</v>
      </c>
      <c r="D14" s="752">
        <v>54821.138999999988</v>
      </c>
      <c r="E14" s="752">
        <v>52952.041499999999</v>
      </c>
      <c r="F14" s="752">
        <v>54325.259365789192</v>
      </c>
      <c r="G14" s="752">
        <v>50901.078249999999</v>
      </c>
      <c r="H14" s="754">
        <v>52915.447</v>
      </c>
      <c r="I14" s="754">
        <v>51579.705000000002</v>
      </c>
      <c r="J14" s="754">
        <v>50027.148300000001</v>
      </c>
      <c r="K14" s="754">
        <v>52854.686349999996</v>
      </c>
      <c r="L14" s="754">
        <v>53056.628999999994</v>
      </c>
      <c r="M14" s="754">
        <v>52491.738196545004</v>
      </c>
      <c r="N14" s="754">
        <v>52852.131722500002</v>
      </c>
      <c r="O14" s="754">
        <f>(E14+G14+I14)/3</f>
        <v>51810.941583333333</v>
      </c>
      <c r="P14" s="754">
        <v>52328.12</v>
      </c>
      <c r="Q14" s="754">
        <v>52851.4</v>
      </c>
      <c r="R14" s="1815" t="s">
        <v>1341</v>
      </c>
    </row>
    <row r="15" spans="1:24" ht="15.75">
      <c r="A15" s="1828" t="s">
        <v>456</v>
      </c>
      <c r="B15" s="755" t="s">
        <v>850</v>
      </c>
      <c r="C15" s="743" t="s">
        <v>801</v>
      </c>
      <c r="D15" s="1829"/>
      <c r="E15" s="1829">
        <v>41956.837999999996</v>
      </c>
      <c r="F15" s="1829"/>
      <c r="G15" s="1829">
        <v>39423.593999999997</v>
      </c>
      <c r="H15" s="1830"/>
      <c r="I15" s="1831">
        <v>40583.677000000003</v>
      </c>
      <c r="J15" s="1830"/>
      <c r="K15" s="1831">
        <v>41396.933000000005</v>
      </c>
      <c r="L15" s="1831">
        <v>41553.674999999996</v>
      </c>
      <c r="M15" s="1831">
        <v>41111.499000000003</v>
      </c>
      <c r="N15" s="1831">
        <v>41393.729999999996</v>
      </c>
      <c r="O15" s="1831">
        <f>O14*0.78</f>
        <v>40412.534435000001</v>
      </c>
      <c r="P15" s="1831">
        <f t="shared" ref="P15:Q15" si="1">P14*0.78</f>
        <v>40815.933600000004</v>
      </c>
      <c r="Q15" s="1831">
        <f t="shared" si="1"/>
        <v>41224.092000000004</v>
      </c>
    </row>
    <row r="16" spans="1:24" ht="15.75">
      <c r="A16" s="1828" t="s">
        <v>150</v>
      </c>
      <c r="B16" s="755" t="s">
        <v>851</v>
      </c>
      <c r="C16" s="743" t="s">
        <v>801</v>
      </c>
      <c r="D16" s="1829"/>
      <c r="E16" s="1829">
        <v>10995.203500000001</v>
      </c>
      <c r="F16" s="1829"/>
      <c r="G16" s="1829">
        <v>11477.484250000001</v>
      </c>
      <c r="H16" s="1831"/>
      <c r="I16" s="1831">
        <v>10996.027999999998</v>
      </c>
      <c r="J16" s="1830"/>
      <c r="K16" s="1831">
        <v>11457.753349999992</v>
      </c>
      <c r="L16" s="1831">
        <v>11502.953999999998</v>
      </c>
      <c r="M16" s="1831">
        <v>11380.239196545001</v>
      </c>
      <c r="N16" s="1831">
        <v>11458.401722500006</v>
      </c>
      <c r="O16" s="1831">
        <f>O14-O15</f>
        <v>11398.407148333332</v>
      </c>
      <c r="P16" s="1831">
        <f t="shared" ref="P16:Q16" si="2">P14-P15</f>
        <v>11512.186399999999</v>
      </c>
      <c r="Q16" s="1831">
        <f t="shared" si="2"/>
        <v>11627.307999999997</v>
      </c>
    </row>
    <row r="17" spans="1:18" ht="27.75" customHeight="1">
      <c r="A17" s="1832" t="s">
        <v>154</v>
      </c>
      <c r="B17" s="1833" t="s">
        <v>852</v>
      </c>
      <c r="C17" s="1834" t="s">
        <v>801</v>
      </c>
      <c r="D17" s="752"/>
      <c r="E17" s="752" t="s">
        <v>830</v>
      </c>
      <c r="F17" s="752" t="s">
        <v>830</v>
      </c>
      <c r="G17" s="752" t="s">
        <v>830</v>
      </c>
      <c r="H17" s="754" t="s">
        <v>830</v>
      </c>
      <c r="I17" s="754" t="s">
        <v>830</v>
      </c>
      <c r="J17" s="754" t="s">
        <v>830</v>
      </c>
      <c r="K17" s="754" t="s">
        <v>830</v>
      </c>
      <c r="L17" s="754" t="s">
        <v>830</v>
      </c>
      <c r="M17" s="754" t="s">
        <v>830</v>
      </c>
      <c r="N17" s="754" t="s">
        <v>830</v>
      </c>
      <c r="O17" s="754" t="s">
        <v>1492</v>
      </c>
      <c r="P17" s="754"/>
      <c r="Q17" s="754"/>
    </row>
    <row r="18" spans="1:18" ht="15.75">
      <c r="A18" s="1827" t="s">
        <v>461</v>
      </c>
      <c r="B18" s="751" t="s">
        <v>853</v>
      </c>
      <c r="C18" s="743" t="s">
        <v>801</v>
      </c>
      <c r="D18" s="752"/>
      <c r="E18" s="752">
        <v>52930.409999999996</v>
      </c>
      <c r="F18" s="752">
        <v>54212.327685461321</v>
      </c>
      <c r="G18" s="752">
        <v>50882.282249999997</v>
      </c>
      <c r="H18" s="754">
        <v>52895.677299999996</v>
      </c>
      <c r="I18" s="754">
        <v>51560.07</v>
      </c>
      <c r="J18" s="754">
        <v>50006.244299999998</v>
      </c>
      <c r="K18" s="754">
        <v>52849.93245</v>
      </c>
      <c r="L18" s="754">
        <v>53056.478999999992</v>
      </c>
      <c r="M18" s="754">
        <v>52491.588196545003</v>
      </c>
      <c r="N18" s="754">
        <v>52851.981722500001</v>
      </c>
      <c r="O18" s="754">
        <f>O14*L9</f>
        <v>51810.795105100849</v>
      </c>
      <c r="P18" s="754">
        <f>P14*M9</f>
        <v>52327.970467554136</v>
      </c>
      <c r="Q18" s="754">
        <f>Q14*N9</f>
        <v>52851.250002076711</v>
      </c>
      <c r="R18" s="1815" t="s">
        <v>1342</v>
      </c>
    </row>
    <row r="19" spans="1:18" s="1835" customFormat="1" ht="15.75">
      <c r="A19" s="2534" t="s">
        <v>462</v>
      </c>
      <c r="B19" s="2535" t="s">
        <v>854</v>
      </c>
      <c r="C19" s="1834" t="s">
        <v>801</v>
      </c>
      <c r="D19" s="2536"/>
      <c r="E19" s="2536">
        <v>3315.2959999999998</v>
      </c>
      <c r="F19" s="2536">
        <v>3259.5155619473512</v>
      </c>
      <c r="G19" s="2536">
        <v>3203.6953499999936</v>
      </c>
      <c r="H19" s="754">
        <v>3600.0119999999993</v>
      </c>
      <c r="I19" s="754">
        <v>4193.8130000000074</v>
      </c>
      <c r="J19" s="754">
        <v>3313.1600000000021</v>
      </c>
      <c r="K19" s="754">
        <v>4283.2566999999972</v>
      </c>
      <c r="L19" s="754">
        <v>4299.5730000109697</v>
      </c>
      <c r="M19" s="754">
        <v>4253.8231965000014</v>
      </c>
      <c r="N19" s="754">
        <v>4283.0417224999946</v>
      </c>
      <c r="O19" s="754"/>
      <c r="P19" s="754"/>
      <c r="Q19" s="754"/>
      <c r="R19" s="1815" t="s">
        <v>1343</v>
      </c>
    </row>
    <row r="20" spans="1:18" ht="19.5" hidden="1" customHeight="1">
      <c r="A20" s="1827" t="s">
        <v>855</v>
      </c>
      <c r="B20" s="751" t="s">
        <v>856</v>
      </c>
      <c r="C20" s="1836" t="s">
        <v>801</v>
      </c>
      <c r="D20" s="1837"/>
      <c r="E20" s="1837" t="s">
        <v>1344</v>
      </c>
      <c r="F20" s="1837" t="s">
        <v>830</v>
      </c>
      <c r="G20" s="1837" t="s">
        <v>830</v>
      </c>
      <c r="H20" s="1838" t="s">
        <v>830</v>
      </c>
      <c r="I20" s="1838" t="s">
        <v>830</v>
      </c>
      <c r="J20" s="1838" t="s">
        <v>830</v>
      </c>
      <c r="K20" s="1838" t="s">
        <v>830</v>
      </c>
      <c r="L20" s="1838" t="s">
        <v>830</v>
      </c>
      <c r="M20" s="1838" t="s">
        <v>830</v>
      </c>
      <c r="N20" s="1838" t="s">
        <v>830</v>
      </c>
      <c r="O20" s="754"/>
      <c r="P20" s="754"/>
      <c r="Q20" s="754"/>
    </row>
    <row r="21" spans="1:18" ht="36" customHeight="1">
      <c r="A21" s="1839" t="s">
        <v>33</v>
      </c>
      <c r="B21" s="1840" t="s">
        <v>1345</v>
      </c>
      <c r="C21" s="1841" t="s">
        <v>801</v>
      </c>
      <c r="D21" s="1842">
        <v>52193.723999999987</v>
      </c>
      <c r="E21" s="1842">
        <v>50511.3586</v>
      </c>
      <c r="F21" s="1842">
        <v>51973.369803841837</v>
      </c>
      <c r="G21" s="1842">
        <v>48503.030900000005</v>
      </c>
      <c r="H21" s="1843">
        <v>0</v>
      </c>
      <c r="I21" s="1843">
        <v>0</v>
      </c>
      <c r="J21" s="1843">
        <v>0</v>
      </c>
      <c r="K21" s="1843">
        <v>0</v>
      </c>
      <c r="L21" s="783">
        <v>0</v>
      </c>
      <c r="M21" s="1843">
        <v>0</v>
      </c>
      <c r="N21" s="1843">
        <v>0</v>
      </c>
      <c r="O21" s="1843"/>
      <c r="P21" s="1843"/>
      <c r="Q21" s="1843"/>
      <c r="R21" s="1815" t="s">
        <v>1346</v>
      </c>
    </row>
    <row r="22" spans="1:18" ht="36" customHeight="1">
      <c r="A22" s="1827" t="s">
        <v>33</v>
      </c>
      <c r="B22" s="798" t="s">
        <v>1347</v>
      </c>
      <c r="C22" s="743" t="s">
        <v>801</v>
      </c>
      <c r="D22" s="1844">
        <v>52193.723999999987</v>
      </c>
      <c r="E22" s="1845">
        <v>50511.3586</v>
      </c>
      <c r="F22" s="754">
        <v>51065.74380384184</v>
      </c>
      <c r="G22" s="754">
        <v>47697.382900000004</v>
      </c>
      <c r="H22" s="754">
        <v>49315.434999999998</v>
      </c>
      <c r="I22" s="754">
        <v>47385.891999999993</v>
      </c>
      <c r="J22" s="754">
        <v>46713.988299999997</v>
      </c>
      <c r="K22" s="754">
        <v>48571.429649999998</v>
      </c>
      <c r="L22" s="754">
        <v>48757.055999989025</v>
      </c>
      <c r="M22" s="754">
        <v>48237.915000045003</v>
      </c>
      <c r="N22" s="754">
        <v>48569.090000000011</v>
      </c>
      <c r="O22" s="754"/>
      <c r="P22" s="754"/>
      <c r="Q22" s="754"/>
      <c r="R22" s="1815" t="s">
        <v>1348</v>
      </c>
    </row>
    <row r="23" spans="1:18" s="1853" customFormat="1" ht="15.75">
      <c r="A23" s="1846">
        <v>2</v>
      </c>
      <c r="B23" s="1847" t="s">
        <v>857</v>
      </c>
      <c r="C23" s="1848"/>
      <c r="D23" s="1849"/>
      <c r="E23" s="1850" t="s">
        <v>830</v>
      </c>
      <c r="F23" s="1850" t="s">
        <v>830</v>
      </c>
      <c r="G23" s="1850" t="s">
        <v>830</v>
      </c>
      <c r="H23" s="1851" t="s">
        <v>830</v>
      </c>
      <c r="I23" s="1851" t="s">
        <v>830</v>
      </c>
      <c r="J23" s="1851" t="s">
        <v>830</v>
      </c>
      <c r="K23" s="1851" t="s">
        <v>830</v>
      </c>
      <c r="L23" s="1851" t="s">
        <v>830</v>
      </c>
      <c r="M23" s="1851" t="s">
        <v>830</v>
      </c>
      <c r="N23" s="1851" t="s">
        <v>830</v>
      </c>
      <c r="O23" s="2533"/>
      <c r="P23" s="2533"/>
      <c r="Q23" s="2533"/>
      <c r="R23" s="1852"/>
    </row>
    <row r="24" spans="1:18" s="1863" customFormat="1" ht="15.75" hidden="1" customHeight="1">
      <c r="A24" s="1854" t="s">
        <v>159</v>
      </c>
      <c r="B24" s="1855" t="s">
        <v>858</v>
      </c>
      <c r="C24" s="1856" t="s">
        <v>801</v>
      </c>
      <c r="D24" s="1857"/>
      <c r="E24" s="1858"/>
      <c r="F24" s="1858"/>
      <c r="G24" s="1859"/>
      <c r="H24" s="1860"/>
      <c r="I24" s="1861"/>
      <c r="J24" s="1860"/>
      <c r="K24" s="1860"/>
      <c r="L24" s="1861"/>
      <c r="M24" s="1861"/>
      <c r="N24" s="1861"/>
      <c r="O24" s="1861"/>
      <c r="P24" s="1861"/>
      <c r="Q24" s="1861"/>
      <c r="R24" s="1862"/>
    </row>
    <row r="25" spans="1:18" s="1863" customFormat="1" ht="15.75" hidden="1" customHeight="1">
      <c r="A25" s="1854" t="s">
        <v>410</v>
      </c>
      <c r="B25" s="1855" t="s">
        <v>859</v>
      </c>
      <c r="C25" s="1856" t="s">
        <v>801</v>
      </c>
      <c r="D25" s="1857"/>
      <c r="E25" s="1858"/>
      <c r="F25" s="1858"/>
      <c r="G25" s="1859"/>
      <c r="H25" s="1860"/>
      <c r="I25" s="1861"/>
      <c r="J25" s="1860"/>
      <c r="K25" s="1860"/>
      <c r="L25" s="1861"/>
      <c r="M25" s="1861"/>
      <c r="N25" s="1861"/>
      <c r="O25" s="1861"/>
      <c r="P25" s="1861"/>
      <c r="Q25" s="1861"/>
      <c r="R25" s="1862"/>
    </row>
    <row r="26" spans="1:18" s="1863" customFormat="1" ht="15.75" hidden="1" customHeight="1">
      <c r="A26" s="1854" t="s">
        <v>411</v>
      </c>
      <c r="B26" s="1855" t="s">
        <v>860</v>
      </c>
      <c r="C26" s="1856" t="s">
        <v>801</v>
      </c>
      <c r="D26" s="1857"/>
      <c r="E26" s="1858"/>
      <c r="F26" s="1858"/>
      <c r="G26" s="1859"/>
      <c r="H26" s="1860"/>
      <c r="I26" s="1861"/>
      <c r="J26" s="1860"/>
      <c r="K26" s="1860"/>
      <c r="L26" s="1861"/>
      <c r="M26" s="1861"/>
      <c r="N26" s="1861"/>
      <c r="O26" s="1861"/>
      <c r="P26" s="1861"/>
      <c r="Q26" s="1861"/>
      <c r="R26" s="1862"/>
    </row>
    <row r="27" spans="1:18" s="762" customFormat="1" ht="15.75">
      <c r="A27" s="1821">
        <v>3</v>
      </c>
      <c r="B27" s="1822" t="s">
        <v>861</v>
      </c>
      <c r="C27" s="1864"/>
      <c r="D27" s="1865"/>
      <c r="E27" s="1823"/>
      <c r="F27" s="1823"/>
      <c r="G27" s="1821"/>
      <c r="H27" s="1825"/>
      <c r="I27" s="1824"/>
      <c r="J27" s="1825"/>
      <c r="K27" s="1825"/>
      <c r="L27" s="1824"/>
      <c r="M27" s="1824"/>
      <c r="N27" s="1824"/>
      <c r="O27" s="1824"/>
      <c r="P27" s="1824"/>
      <c r="Q27" s="1824"/>
      <c r="R27" s="1826"/>
    </row>
    <row r="28" spans="1:18" ht="15.75">
      <c r="A28" s="1827" t="s">
        <v>441</v>
      </c>
      <c r="B28" s="751" t="s">
        <v>862</v>
      </c>
      <c r="C28" s="743" t="s">
        <v>801</v>
      </c>
      <c r="D28" s="1844">
        <v>52193.723999999987</v>
      </c>
      <c r="E28" s="752">
        <v>50511.3586</v>
      </c>
      <c r="F28" s="752">
        <v>51973.369803841837</v>
      </c>
      <c r="G28" s="752">
        <v>48503.030900000005</v>
      </c>
      <c r="H28" s="754">
        <v>50205.343000000001</v>
      </c>
      <c r="I28" s="754">
        <v>48181.579999999994</v>
      </c>
      <c r="J28" s="754">
        <v>47527.208299999998</v>
      </c>
      <c r="K28" s="754">
        <v>49366.399649999999</v>
      </c>
      <c r="L28" s="754">
        <v>49553.837999989024</v>
      </c>
      <c r="M28" s="754">
        <v>49029.720000045003</v>
      </c>
      <c r="N28" s="754">
        <v>49363.695000000014</v>
      </c>
      <c r="O28" s="754"/>
      <c r="P28" s="754"/>
      <c r="Q28" s="754"/>
      <c r="R28" s="1815" t="s">
        <v>1349</v>
      </c>
    </row>
    <row r="29" spans="1:18" ht="15.75">
      <c r="A29" s="1828" t="s">
        <v>863</v>
      </c>
      <c r="B29" s="755" t="s">
        <v>864</v>
      </c>
      <c r="C29" s="743" t="s">
        <v>801</v>
      </c>
      <c r="D29" s="1829"/>
      <c r="E29" s="1829">
        <v>49636.745600000002</v>
      </c>
      <c r="F29" s="1829">
        <v>51065.74380384184</v>
      </c>
      <c r="G29" s="1829">
        <v>47697.382900000004</v>
      </c>
      <c r="H29" s="1831">
        <v>49315.434999999998</v>
      </c>
      <c r="I29" s="1831">
        <v>47385.891999999993</v>
      </c>
      <c r="J29" s="1831">
        <v>46713.988299999997</v>
      </c>
      <c r="K29" s="1831">
        <v>48571.429649999998</v>
      </c>
      <c r="L29" s="1831">
        <v>48757.055999989025</v>
      </c>
      <c r="M29" s="1831">
        <v>48237.915000045003</v>
      </c>
      <c r="N29" s="1831">
        <v>48569.090000000011</v>
      </c>
      <c r="O29" s="1831"/>
      <c r="P29" s="1831"/>
      <c r="Q29" s="1831"/>
    </row>
    <row r="30" spans="1:18" ht="15.75">
      <c r="A30" s="1828" t="s">
        <v>865</v>
      </c>
      <c r="B30" s="755" t="s">
        <v>866</v>
      </c>
      <c r="C30" s="1866" t="s">
        <v>801</v>
      </c>
      <c r="D30" s="1867">
        <v>922.70100000000002</v>
      </c>
      <c r="E30" s="1829">
        <v>874.61300000000006</v>
      </c>
      <c r="F30" s="1829">
        <v>907.62599999999998</v>
      </c>
      <c r="G30" s="1829">
        <v>805.64799999999991</v>
      </c>
      <c r="H30" s="1831">
        <v>889.90800000000002</v>
      </c>
      <c r="I30" s="1831">
        <v>795.6880000000001</v>
      </c>
      <c r="J30" s="1831">
        <v>813.21999999999991</v>
      </c>
      <c r="K30" s="1831">
        <v>794.97</v>
      </c>
      <c r="L30" s="1831">
        <v>796.78200000000004</v>
      </c>
      <c r="M30" s="1831">
        <v>791.80500000000018</v>
      </c>
      <c r="N30" s="1831">
        <v>794.60500000000002</v>
      </c>
      <c r="O30" s="1831"/>
      <c r="P30" s="1831"/>
      <c r="Q30" s="1831"/>
    </row>
    <row r="31" spans="1:18" ht="27.75" customHeight="1">
      <c r="A31" s="1868" t="s">
        <v>867</v>
      </c>
      <c r="B31" s="1869" t="s">
        <v>868</v>
      </c>
      <c r="C31" s="1870" t="s">
        <v>801</v>
      </c>
      <c r="D31" s="754"/>
      <c r="E31" s="754"/>
      <c r="F31" s="754" t="s">
        <v>830</v>
      </c>
      <c r="G31" s="754" t="s">
        <v>830</v>
      </c>
      <c r="H31" s="754" t="s">
        <v>830</v>
      </c>
      <c r="I31" s="754" t="s">
        <v>830</v>
      </c>
      <c r="J31" s="754" t="s">
        <v>830</v>
      </c>
      <c r="K31" s="754" t="s">
        <v>830</v>
      </c>
      <c r="L31" s="754" t="s">
        <v>830</v>
      </c>
      <c r="M31" s="754" t="s">
        <v>830</v>
      </c>
      <c r="N31" s="754" t="s">
        <v>830</v>
      </c>
      <c r="O31" s="754"/>
      <c r="P31" s="754"/>
      <c r="Q31" s="754"/>
    </row>
    <row r="32" spans="1:18" ht="15.75">
      <c r="A32" s="1871" t="s">
        <v>443</v>
      </c>
      <c r="B32" s="798" t="s">
        <v>869</v>
      </c>
      <c r="C32" s="1872" t="s">
        <v>801</v>
      </c>
      <c r="D32" s="754">
        <v>5823.1239999999889</v>
      </c>
      <c r="E32" s="754">
        <v>15397.805180000003</v>
      </c>
      <c r="F32" s="754">
        <v>7536.1698038418326</v>
      </c>
      <c r="G32" s="754">
        <v>12379.992760000005</v>
      </c>
      <c r="H32" s="754">
        <v>7536.1698038418326</v>
      </c>
      <c r="I32" s="754">
        <v>12268.837999999994</v>
      </c>
      <c r="J32" s="754">
        <v>6958.0400000000009</v>
      </c>
      <c r="K32" s="754">
        <v>14403.526650000002</v>
      </c>
      <c r="L32" s="754">
        <v>13982.543999989026</v>
      </c>
      <c r="M32" s="754">
        <v>13765.433000045006</v>
      </c>
      <c r="N32" s="754">
        <v>13490.664000000015</v>
      </c>
      <c r="O32" s="754"/>
      <c r="P32" s="754"/>
      <c r="Q32" s="754"/>
      <c r="R32" s="1815" t="s">
        <v>1350</v>
      </c>
    </row>
    <row r="33" spans="1:24" s="1878" customFormat="1" ht="13.5" hidden="1" customHeight="1">
      <c r="A33" s="1873"/>
      <c r="B33" s="1874" t="s">
        <v>1351</v>
      </c>
      <c r="C33" s="1875"/>
      <c r="D33" s="1876">
        <v>0.11156751336616622</v>
      </c>
      <c r="E33" s="1876">
        <v>0.30483846815397286</v>
      </c>
      <c r="F33" s="1876">
        <v>0.1450005999665768</v>
      </c>
      <c r="G33" s="1876">
        <v>0.25524163192036736</v>
      </c>
      <c r="H33" s="1876" t="e">
        <v>#DIV/0!</v>
      </c>
      <c r="I33" s="1876" t="e">
        <v>#DIV/0!</v>
      </c>
      <c r="J33" s="1876" t="e">
        <v>#DIV/0!</v>
      </c>
      <c r="K33" s="1876" t="e">
        <v>#DIV/0!</v>
      </c>
      <c r="L33" s="1876" t="e">
        <v>#DIV/0!</v>
      </c>
      <c r="M33" s="1876" t="e">
        <v>#DIV/0!</v>
      </c>
      <c r="N33" s="1876" t="e">
        <v>#DIV/0!</v>
      </c>
      <c r="O33" s="1876"/>
      <c r="P33" s="1876"/>
      <c r="Q33" s="1876"/>
      <c r="R33" s="1877"/>
    </row>
    <row r="34" spans="1:24" ht="18.75" customHeight="1">
      <c r="A34" s="1871" t="s">
        <v>445</v>
      </c>
      <c r="B34" s="798" t="s">
        <v>854</v>
      </c>
      <c r="C34" s="1872" t="s">
        <v>801</v>
      </c>
      <c r="D34" s="754">
        <v>3550.1159999999986</v>
      </c>
      <c r="E34" s="754">
        <v>3315.295899999996</v>
      </c>
      <c r="F34" s="754" t="s">
        <v>870</v>
      </c>
      <c r="G34" s="754">
        <v>146.19399999999999</v>
      </c>
      <c r="H34" s="754" t="s">
        <v>870</v>
      </c>
      <c r="I34" s="754">
        <v>93.24</v>
      </c>
      <c r="J34" s="754" t="s">
        <v>870</v>
      </c>
      <c r="K34" s="754">
        <v>78.423000000000002</v>
      </c>
      <c r="L34" s="754">
        <v>80.481999999999999</v>
      </c>
      <c r="M34" s="754">
        <v>82.656999999999996</v>
      </c>
      <c r="N34" s="754">
        <v>84.933000000000007</v>
      </c>
      <c r="O34" s="754"/>
      <c r="P34" s="754"/>
      <c r="Q34" s="754"/>
      <c r="R34" s="1815" t="s">
        <v>1352</v>
      </c>
    </row>
    <row r="35" spans="1:24" ht="15.75">
      <c r="A35" s="1871" t="s">
        <v>447</v>
      </c>
      <c r="B35" s="798" t="s">
        <v>871</v>
      </c>
      <c r="C35" s="1870" t="s">
        <v>801</v>
      </c>
      <c r="D35" s="753">
        <v>46370.6</v>
      </c>
      <c r="E35" s="753">
        <v>35113.553419999997</v>
      </c>
      <c r="F35" s="753">
        <v>44437.200000000004</v>
      </c>
      <c r="G35" s="753">
        <v>35976.844140000001</v>
      </c>
      <c r="H35" s="753">
        <v>42669.173196158168</v>
      </c>
      <c r="I35" s="753">
        <v>35819.502</v>
      </c>
      <c r="J35" s="753">
        <v>40569.168299999998</v>
      </c>
      <c r="K35" s="753">
        <v>34884.449999999997</v>
      </c>
      <c r="L35" s="753">
        <v>35490.811999999998</v>
      </c>
      <c r="M35" s="753">
        <v>35181.629999999997</v>
      </c>
      <c r="N35" s="753">
        <v>35788.097999999998</v>
      </c>
      <c r="O35" s="753"/>
      <c r="P35" s="753"/>
      <c r="Q35" s="753"/>
      <c r="R35" s="1815" t="s">
        <v>1353</v>
      </c>
    </row>
    <row r="36" spans="1:24" ht="24.75" customHeight="1">
      <c r="A36" s="1879" t="s">
        <v>449</v>
      </c>
      <c r="B36" s="1869" t="s">
        <v>872</v>
      </c>
      <c r="C36" s="1870" t="s">
        <v>801</v>
      </c>
      <c r="D36" s="754"/>
      <c r="E36" s="754" t="s">
        <v>1354</v>
      </c>
      <c r="F36" s="754" t="s">
        <v>830</v>
      </c>
      <c r="G36" s="754" t="s">
        <v>830</v>
      </c>
      <c r="H36" s="754" t="s">
        <v>830</v>
      </c>
      <c r="I36" s="754" t="s">
        <v>830</v>
      </c>
      <c r="J36" s="754" t="s">
        <v>830</v>
      </c>
      <c r="K36" s="754" t="s">
        <v>830</v>
      </c>
      <c r="L36" s="754" t="s">
        <v>830</v>
      </c>
      <c r="M36" s="754" t="s">
        <v>830</v>
      </c>
      <c r="N36" s="754" t="s">
        <v>830</v>
      </c>
      <c r="O36" s="754"/>
      <c r="P36" s="754"/>
      <c r="Q36" s="754"/>
    </row>
    <row r="37" spans="1:24" s="1853" customFormat="1" ht="15.75" hidden="1">
      <c r="A37" s="1880">
        <v>4</v>
      </c>
      <c r="B37" s="1881" t="s">
        <v>873</v>
      </c>
      <c r="C37" s="1882"/>
      <c r="D37" s="1883" t="s">
        <v>830</v>
      </c>
      <c r="E37" s="1851" t="s">
        <v>830</v>
      </c>
      <c r="F37" s="1851" t="s">
        <v>830</v>
      </c>
      <c r="G37" s="1851" t="s">
        <v>830</v>
      </c>
      <c r="H37" s="1851" t="s">
        <v>830</v>
      </c>
      <c r="I37" s="1851" t="s">
        <v>830</v>
      </c>
      <c r="J37" s="1851" t="s">
        <v>830</v>
      </c>
      <c r="K37" s="1851" t="s">
        <v>830</v>
      </c>
      <c r="L37" s="1851" t="s">
        <v>830</v>
      </c>
      <c r="M37" s="1851" t="s">
        <v>830</v>
      </c>
      <c r="N37" s="1851" t="s">
        <v>830</v>
      </c>
      <c r="O37" s="2533"/>
      <c r="P37" s="2533"/>
      <c r="Q37" s="2533"/>
      <c r="R37" s="1852"/>
    </row>
    <row r="38" spans="1:24" s="1890" customFormat="1" ht="15.75" hidden="1" customHeight="1">
      <c r="A38" s="1884" t="s">
        <v>874</v>
      </c>
      <c r="B38" s="1885" t="s">
        <v>875</v>
      </c>
      <c r="C38" s="1886" t="s">
        <v>801</v>
      </c>
      <c r="D38" s="1887" t="s">
        <v>830</v>
      </c>
      <c r="E38" s="1888" t="s">
        <v>830</v>
      </c>
      <c r="F38" s="1888" t="s">
        <v>830</v>
      </c>
      <c r="G38" s="1888" t="s">
        <v>830</v>
      </c>
      <c r="H38" s="1888" t="s">
        <v>830</v>
      </c>
      <c r="I38" s="1888" t="s">
        <v>830</v>
      </c>
      <c r="J38" s="1888" t="s">
        <v>830</v>
      </c>
      <c r="K38" s="1888" t="s">
        <v>830</v>
      </c>
      <c r="L38" s="1888" t="s">
        <v>830</v>
      </c>
      <c r="M38" s="1888" t="s">
        <v>830</v>
      </c>
      <c r="N38" s="1888" t="s">
        <v>830</v>
      </c>
      <c r="O38" s="1888"/>
      <c r="P38" s="1888"/>
      <c r="Q38" s="1888"/>
      <c r="R38" s="1889"/>
    </row>
    <row r="39" spans="1:24" s="1890" customFormat="1" ht="15.75" hidden="1" customHeight="1">
      <c r="A39" s="1884" t="s">
        <v>876</v>
      </c>
      <c r="B39" s="1885" t="s">
        <v>869</v>
      </c>
      <c r="C39" s="1891" t="s">
        <v>1355</v>
      </c>
      <c r="D39" s="1887" t="s">
        <v>830</v>
      </c>
      <c r="E39" s="1888" t="s">
        <v>830</v>
      </c>
      <c r="F39" s="1888" t="s">
        <v>830</v>
      </c>
      <c r="G39" s="1888" t="s">
        <v>830</v>
      </c>
      <c r="H39" s="1888" t="s">
        <v>830</v>
      </c>
      <c r="I39" s="1888" t="s">
        <v>830</v>
      </c>
      <c r="J39" s="1888" t="s">
        <v>830</v>
      </c>
      <c r="K39" s="1888" t="s">
        <v>830</v>
      </c>
      <c r="L39" s="1888" t="s">
        <v>830</v>
      </c>
      <c r="M39" s="1888" t="s">
        <v>830</v>
      </c>
      <c r="N39" s="1888" t="s">
        <v>830</v>
      </c>
      <c r="O39" s="1888"/>
      <c r="P39" s="1888"/>
      <c r="Q39" s="1888"/>
      <c r="R39" s="1889"/>
    </row>
    <row r="40" spans="1:24" s="1890" customFormat="1" ht="15.75" hidden="1" customHeight="1">
      <c r="A40" s="1884" t="s">
        <v>877</v>
      </c>
      <c r="B40" s="1885" t="s">
        <v>854</v>
      </c>
      <c r="C40" s="1886" t="s">
        <v>801</v>
      </c>
      <c r="D40" s="1887" t="s">
        <v>830</v>
      </c>
      <c r="E40" s="1888" t="s">
        <v>830</v>
      </c>
      <c r="F40" s="1888" t="s">
        <v>830</v>
      </c>
      <c r="G40" s="1888" t="s">
        <v>830</v>
      </c>
      <c r="H40" s="1888" t="s">
        <v>830</v>
      </c>
      <c r="I40" s="1888" t="s">
        <v>830</v>
      </c>
      <c r="J40" s="1888" t="s">
        <v>830</v>
      </c>
      <c r="K40" s="1888" t="s">
        <v>830</v>
      </c>
      <c r="L40" s="1888" t="s">
        <v>830</v>
      </c>
      <c r="M40" s="1888" t="s">
        <v>830</v>
      </c>
      <c r="N40" s="1888" t="s">
        <v>830</v>
      </c>
      <c r="O40" s="1888"/>
      <c r="P40" s="1888"/>
      <c r="Q40" s="1888"/>
      <c r="R40" s="1889"/>
    </row>
    <row r="41" spans="1:24" s="1890" customFormat="1" ht="15.75" hidden="1" customHeight="1">
      <c r="A41" s="1884" t="s">
        <v>878</v>
      </c>
      <c r="B41" s="1885" t="s">
        <v>871</v>
      </c>
      <c r="C41" s="1886" t="s">
        <v>801</v>
      </c>
      <c r="D41" s="1887" t="s">
        <v>830</v>
      </c>
      <c r="E41" s="1888" t="s">
        <v>830</v>
      </c>
      <c r="F41" s="1888" t="s">
        <v>830</v>
      </c>
      <c r="G41" s="1888" t="s">
        <v>830</v>
      </c>
      <c r="H41" s="1888" t="s">
        <v>830</v>
      </c>
      <c r="I41" s="1888" t="s">
        <v>830</v>
      </c>
      <c r="J41" s="1888" t="s">
        <v>830</v>
      </c>
      <c r="K41" s="1888" t="s">
        <v>830</v>
      </c>
      <c r="L41" s="1888" t="s">
        <v>830</v>
      </c>
      <c r="M41" s="1888" t="s">
        <v>830</v>
      </c>
      <c r="N41" s="1888" t="s">
        <v>830</v>
      </c>
      <c r="O41" s="1888"/>
      <c r="P41" s="1888"/>
      <c r="Q41" s="1888"/>
      <c r="R41" s="1889"/>
    </row>
    <row r="42" spans="1:24" s="1853" customFormat="1" ht="15.75" hidden="1">
      <c r="A42" s="1880">
        <v>5</v>
      </c>
      <c r="B42" s="1881" t="s">
        <v>879</v>
      </c>
      <c r="C42" s="1882"/>
      <c r="D42" s="1883" t="s">
        <v>830</v>
      </c>
      <c r="E42" s="1851" t="s">
        <v>830</v>
      </c>
      <c r="F42" s="1851" t="s">
        <v>830</v>
      </c>
      <c r="G42" s="1851" t="s">
        <v>830</v>
      </c>
      <c r="H42" s="1851" t="s">
        <v>830</v>
      </c>
      <c r="I42" s="1851" t="s">
        <v>830</v>
      </c>
      <c r="J42" s="1851" t="s">
        <v>830</v>
      </c>
      <c r="K42" s="1851" t="s">
        <v>830</v>
      </c>
      <c r="L42" s="1851" t="s">
        <v>830</v>
      </c>
      <c r="M42" s="1851" t="s">
        <v>830</v>
      </c>
      <c r="N42" s="1851" t="s">
        <v>830</v>
      </c>
      <c r="O42" s="2533"/>
      <c r="P42" s="2533"/>
      <c r="Q42" s="2533"/>
      <c r="R42" s="1852"/>
    </row>
    <row r="43" spans="1:24" s="1863" customFormat="1" ht="15.75" hidden="1" customHeight="1">
      <c r="A43" s="1892" t="s">
        <v>880</v>
      </c>
      <c r="B43" s="1893" t="s">
        <v>875</v>
      </c>
      <c r="C43" s="1894" t="s">
        <v>801</v>
      </c>
      <c r="D43" s="1895"/>
      <c r="E43" s="1896"/>
      <c r="F43" s="1896"/>
      <c r="G43" s="1897"/>
      <c r="H43" s="1896"/>
      <c r="I43" s="1897"/>
      <c r="J43" s="1896"/>
      <c r="K43" s="1896"/>
      <c r="L43" s="1897"/>
      <c r="M43" s="1897"/>
      <c r="N43" s="1897"/>
      <c r="O43" s="1897"/>
      <c r="P43" s="1897"/>
      <c r="Q43" s="1897"/>
      <c r="R43" s="1862"/>
    </row>
    <row r="44" spans="1:24" s="1863" customFormat="1" ht="15.75" hidden="1" customHeight="1">
      <c r="A44" s="1892" t="s">
        <v>881</v>
      </c>
      <c r="B44" s="1893" t="s">
        <v>869</v>
      </c>
      <c r="C44" s="1898" t="s">
        <v>1355</v>
      </c>
      <c r="D44" s="1895"/>
      <c r="E44" s="1896"/>
      <c r="F44" s="1896"/>
      <c r="G44" s="1897"/>
      <c r="H44" s="1896"/>
      <c r="I44" s="1897"/>
      <c r="J44" s="1896"/>
      <c r="K44" s="1896"/>
      <c r="L44" s="1897"/>
      <c r="M44" s="1897"/>
      <c r="N44" s="1897"/>
      <c r="O44" s="1897"/>
      <c r="P44" s="1897"/>
      <c r="Q44" s="1897"/>
      <c r="R44" s="1862"/>
    </row>
    <row r="45" spans="1:24" s="1863" customFormat="1" ht="15.75" hidden="1" customHeight="1">
      <c r="A45" s="1892" t="s">
        <v>882</v>
      </c>
      <c r="B45" s="1893" t="s">
        <v>854</v>
      </c>
      <c r="C45" s="1894" t="s">
        <v>801</v>
      </c>
      <c r="D45" s="1895"/>
      <c r="E45" s="1896"/>
      <c r="F45" s="1896"/>
      <c r="G45" s="1897"/>
      <c r="H45" s="1896"/>
      <c r="I45" s="1897"/>
      <c r="J45" s="1896"/>
      <c r="K45" s="1896"/>
      <c r="L45" s="1897"/>
      <c r="M45" s="1897"/>
      <c r="N45" s="1897"/>
      <c r="O45" s="1897"/>
      <c r="P45" s="1897"/>
      <c r="Q45" s="1897"/>
      <c r="R45" s="1862"/>
    </row>
    <row r="46" spans="1:24" s="1863" customFormat="1" ht="15.75" hidden="1" customHeight="1">
      <c r="A46" s="1892" t="s">
        <v>883</v>
      </c>
      <c r="B46" s="1893" t="s">
        <v>871</v>
      </c>
      <c r="C46" s="1894" t="s">
        <v>801</v>
      </c>
      <c r="D46" s="1895"/>
      <c r="E46" s="1896"/>
      <c r="F46" s="1896"/>
      <c r="G46" s="1897"/>
      <c r="H46" s="1896"/>
      <c r="I46" s="1897"/>
      <c r="J46" s="1896"/>
      <c r="K46" s="1896"/>
      <c r="L46" s="1897"/>
      <c r="M46" s="1897"/>
      <c r="N46" s="1897"/>
      <c r="O46" s="1897"/>
      <c r="P46" s="1897"/>
      <c r="Q46" s="1897"/>
      <c r="R46" s="1862"/>
    </row>
    <row r="47" spans="1:24" s="762" customFormat="1" ht="15.75">
      <c r="A47" s="1899">
        <v>6</v>
      </c>
      <c r="B47" s="1900" t="s">
        <v>884</v>
      </c>
      <c r="C47" s="1901"/>
      <c r="D47" s="1902"/>
      <c r="E47" s="1903"/>
      <c r="F47" s="1903"/>
      <c r="G47" s="1899"/>
      <c r="H47" s="1903"/>
      <c r="I47" s="1899"/>
      <c r="J47" s="1903"/>
      <c r="K47" s="1903"/>
      <c r="L47" s="1899"/>
      <c r="M47" s="1899"/>
      <c r="N47" s="1899"/>
      <c r="O47" s="1899"/>
      <c r="P47" s="1899"/>
      <c r="Q47" s="1899"/>
      <c r="R47" s="1826"/>
    </row>
    <row r="48" spans="1:24" ht="15.75">
      <c r="A48" s="1871" t="s">
        <v>885</v>
      </c>
      <c r="B48" s="798" t="s">
        <v>886</v>
      </c>
      <c r="C48" s="1870" t="s">
        <v>801</v>
      </c>
      <c r="D48" s="754">
        <v>46370.6</v>
      </c>
      <c r="E48" s="754">
        <v>35113.553419999997</v>
      </c>
      <c r="F48" s="753">
        <v>44437.200000000004</v>
      </c>
      <c r="G48" s="753">
        <v>35976.844140000001</v>
      </c>
      <c r="H48" s="753">
        <v>42669.173196158168</v>
      </c>
      <c r="I48" s="753">
        <v>35819.502</v>
      </c>
      <c r="J48" s="753">
        <v>40569.168299999998</v>
      </c>
      <c r="K48" s="753">
        <v>34884.449999999997</v>
      </c>
      <c r="L48" s="753">
        <v>35490.811999999998</v>
      </c>
      <c r="M48" s="753">
        <v>35181.629999999997</v>
      </c>
      <c r="N48" s="753">
        <v>35788.097999999998</v>
      </c>
      <c r="O48" s="753"/>
      <c r="P48" s="753"/>
      <c r="Q48" s="753"/>
      <c r="R48" s="1826"/>
      <c r="S48" s="762"/>
      <c r="T48" s="762"/>
      <c r="U48" s="762"/>
      <c r="V48" s="762"/>
      <c r="W48" s="762"/>
      <c r="X48" s="762"/>
    </row>
    <row r="49" spans="1:24" ht="15.75">
      <c r="A49" s="1868" t="s">
        <v>887</v>
      </c>
      <c r="B49" s="1904" t="s">
        <v>888</v>
      </c>
      <c r="C49" s="1870" t="s">
        <v>801</v>
      </c>
      <c r="D49" s="1905"/>
      <c r="E49" s="1906"/>
      <c r="F49" s="1907"/>
      <c r="G49" s="1908">
        <v>22640.518</v>
      </c>
      <c r="H49" s="1907"/>
      <c r="I49" s="1908">
        <v>21890.769</v>
      </c>
      <c r="J49" s="1907"/>
      <c r="K49" s="1908">
        <v>22530.809999999998</v>
      </c>
      <c r="L49" s="1908">
        <v>22985.507999999998</v>
      </c>
      <c r="M49" s="1908">
        <v>23291.436999999998</v>
      </c>
      <c r="N49" s="1908">
        <v>23951.994999999999</v>
      </c>
      <c r="O49" s="1908"/>
      <c r="P49" s="1908"/>
      <c r="Q49" s="1908"/>
      <c r="R49" s="1826"/>
      <c r="S49" s="762"/>
      <c r="T49" s="762"/>
      <c r="U49" s="762"/>
      <c r="V49" s="762"/>
      <c r="W49" s="762"/>
      <c r="X49" s="762"/>
    </row>
    <row r="50" spans="1:24" ht="15.75">
      <c r="A50" s="1868" t="s">
        <v>889</v>
      </c>
      <c r="B50" s="1904" t="s">
        <v>890</v>
      </c>
      <c r="C50" s="1870" t="s">
        <v>801</v>
      </c>
      <c r="D50" s="1905"/>
      <c r="E50" s="1906"/>
      <c r="F50" s="1907"/>
      <c r="G50" s="1908">
        <v>13336.325999999999</v>
      </c>
      <c r="H50" s="1907"/>
      <c r="I50" s="1908">
        <v>13928.733</v>
      </c>
      <c r="J50" s="1907"/>
      <c r="K50" s="1908">
        <v>12353.64</v>
      </c>
      <c r="L50" s="1908">
        <v>12505.304</v>
      </c>
      <c r="M50" s="1908">
        <v>11890.192999999999</v>
      </c>
      <c r="N50" s="1908">
        <v>11836.102999999999</v>
      </c>
      <c r="O50" s="1908"/>
      <c r="P50" s="1908"/>
      <c r="Q50" s="1908"/>
      <c r="R50" s="1826"/>
      <c r="S50" s="762"/>
      <c r="T50" s="762"/>
      <c r="U50" s="762"/>
      <c r="V50" s="762"/>
      <c r="W50" s="762"/>
      <c r="X50" s="762"/>
    </row>
    <row r="51" spans="1:24" ht="15.75">
      <c r="A51" s="1871" t="s">
        <v>891</v>
      </c>
      <c r="B51" s="798" t="s">
        <v>892</v>
      </c>
      <c r="C51" s="1870" t="s">
        <v>801</v>
      </c>
      <c r="D51" s="1905"/>
      <c r="E51" s="1906"/>
      <c r="F51" s="1907"/>
      <c r="G51" s="1909"/>
      <c r="H51" s="1907"/>
      <c r="I51" s="753">
        <v>2022.64</v>
      </c>
      <c r="J51" s="1907"/>
      <c r="K51" s="753">
        <v>2116.7959999999998</v>
      </c>
      <c r="L51" s="753">
        <v>2132.596</v>
      </c>
      <c r="M51" s="753">
        <v>2135.4499999999998</v>
      </c>
      <c r="N51" s="753">
        <v>2178.346</v>
      </c>
      <c r="O51" s="753"/>
      <c r="P51" s="753"/>
      <c r="Q51" s="753"/>
      <c r="R51" s="1826"/>
      <c r="S51" s="762"/>
      <c r="T51" s="762"/>
      <c r="U51" s="762"/>
      <c r="V51" s="762"/>
      <c r="W51" s="762"/>
      <c r="X51" s="762"/>
    </row>
    <row r="52" spans="1:24" ht="15.75">
      <c r="A52" s="1868" t="s">
        <v>893</v>
      </c>
      <c r="B52" s="1904" t="s">
        <v>894</v>
      </c>
      <c r="C52" s="1870" t="s">
        <v>895</v>
      </c>
      <c r="D52" s="754" t="s">
        <v>830</v>
      </c>
      <c r="E52" s="754" t="s">
        <v>830</v>
      </c>
      <c r="F52" s="753" t="s">
        <v>830</v>
      </c>
      <c r="G52" s="753" t="s">
        <v>830</v>
      </c>
      <c r="H52" s="753" t="s">
        <v>830</v>
      </c>
      <c r="I52" s="753" t="s">
        <v>830</v>
      </c>
      <c r="J52" s="753" t="s">
        <v>830</v>
      </c>
      <c r="K52" s="753" t="s">
        <v>830</v>
      </c>
      <c r="L52" s="753" t="s">
        <v>830</v>
      </c>
      <c r="M52" s="753" t="s">
        <v>830</v>
      </c>
      <c r="N52" s="753" t="s">
        <v>830</v>
      </c>
      <c r="O52" s="753"/>
      <c r="P52" s="753"/>
      <c r="Q52" s="753"/>
    </row>
    <row r="53" spans="1:24" ht="15.75">
      <c r="A53" s="1868" t="s">
        <v>896</v>
      </c>
      <c r="B53" s="1904" t="s">
        <v>897</v>
      </c>
      <c r="C53" s="1870" t="s">
        <v>801</v>
      </c>
      <c r="D53" s="754" t="s">
        <v>830</v>
      </c>
      <c r="E53" s="754" t="s">
        <v>830</v>
      </c>
      <c r="F53" s="753" t="s">
        <v>830</v>
      </c>
      <c r="G53" s="753" t="s">
        <v>830</v>
      </c>
      <c r="H53" s="753" t="s">
        <v>830</v>
      </c>
      <c r="I53" s="753" t="s">
        <v>830</v>
      </c>
      <c r="J53" s="753" t="s">
        <v>830</v>
      </c>
      <c r="K53" s="753" t="s">
        <v>830</v>
      </c>
      <c r="L53" s="753" t="s">
        <v>830</v>
      </c>
      <c r="M53" s="753" t="s">
        <v>830</v>
      </c>
      <c r="N53" s="753" t="s">
        <v>830</v>
      </c>
      <c r="O53" s="753"/>
      <c r="P53" s="753"/>
      <c r="Q53" s="753"/>
    </row>
    <row r="54" spans="1:24" ht="15.75">
      <c r="A54" s="1871" t="s">
        <v>898</v>
      </c>
      <c r="B54" s="798" t="s">
        <v>816</v>
      </c>
      <c r="C54" s="1870" t="s">
        <v>801</v>
      </c>
      <c r="D54" s="1905"/>
      <c r="E54" s="1906"/>
      <c r="F54" s="753"/>
      <c r="G54" s="753">
        <v>35976.843999999997</v>
      </c>
      <c r="H54" s="753"/>
      <c r="I54" s="753">
        <v>33796.862000000001</v>
      </c>
      <c r="J54" s="753"/>
      <c r="K54" s="753">
        <v>32767.653999999999</v>
      </c>
      <c r="L54" s="753">
        <v>33358.216</v>
      </c>
      <c r="M54" s="753">
        <v>33046.18</v>
      </c>
      <c r="N54" s="753">
        <v>33609.752</v>
      </c>
      <c r="O54" s="753"/>
      <c r="P54" s="753"/>
      <c r="Q54" s="753"/>
    </row>
    <row r="55" spans="1:24" ht="30.75" customHeight="1">
      <c r="A55" s="1868" t="s">
        <v>899</v>
      </c>
      <c r="B55" s="1904" t="s">
        <v>900</v>
      </c>
      <c r="C55" s="1870" t="s">
        <v>801</v>
      </c>
      <c r="D55" s="1910"/>
      <c r="E55" s="754">
        <v>2736.5329999999999</v>
      </c>
      <c r="F55" s="1907"/>
      <c r="G55" s="1908">
        <v>2458.0929999999998</v>
      </c>
      <c r="H55" s="1907"/>
      <c r="I55" s="1908">
        <v>2026.2180000000001</v>
      </c>
      <c r="J55" s="1907"/>
      <c r="K55" s="1908">
        <v>2313.3999999999996</v>
      </c>
      <c r="L55" s="1908">
        <v>2319.7389999999996</v>
      </c>
      <c r="M55" s="1908">
        <v>2302.623</v>
      </c>
      <c r="N55" s="1908">
        <v>2283.444</v>
      </c>
      <c r="O55" s="1908"/>
      <c r="P55" s="1908"/>
      <c r="Q55" s="1908"/>
    </row>
    <row r="56" spans="1:24" s="1916" customFormat="1">
      <c r="A56" s="1911" t="s">
        <v>901</v>
      </c>
      <c r="B56" s="1912" t="s">
        <v>819</v>
      </c>
      <c r="C56" s="757" t="s">
        <v>801</v>
      </c>
      <c r="D56" s="1913"/>
      <c r="E56" s="1914">
        <v>2341.9540000000002</v>
      </c>
      <c r="F56" s="1914"/>
      <c r="G56" s="1915">
        <v>1968.6890000000001</v>
      </c>
      <c r="H56" s="1914"/>
      <c r="I56" s="1915">
        <v>1664.0309999999999</v>
      </c>
      <c r="J56" s="1914"/>
      <c r="K56" s="1915">
        <v>1959.384</v>
      </c>
      <c r="L56" s="1915">
        <v>1964.752</v>
      </c>
      <c r="M56" s="1915">
        <v>1948.316</v>
      </c>
      <c r="N56" s="1915">
        <v>1925.6589999999999</v>
      </c>
      <c r="O56" s="1915"/>
      <c r="P56" s="1915"/>
      <c r="Q56" s="1915"/>
      <c r="R56" s="1826"/>
    </row>
    <row r="57" spans="1:24" s="1916" customFormat="1">
      <c r="A57" s="1911" t="s">
        <v>902</v>
      </c>
      <c r="B57" s="1912" t="s">
        <v>903</v>
      </c>
      <c r="C57" s="757" t="s">
        <v>801</v>
      </c>
      <c r="D57" s="1913"/>
      <c r="E57" s="1914">
        <v>177.72499999999999</v>
      </c>
      <c r="F57" s="1914"/>
      <c r="G57" s="1915">
        <v>194.905</v>
      </c>
      <c r="H57" s="1914"/>
      <c r="I57" s="1915">
        <v>307.08499999999998</v>
      </c>
      <c r="J57" s="1914"/>
      <c r="K57" s="1915">
        <v>300.58799999999997</v>
      </c>
      <c r="L57" s="1915">
        <v>301.41199999999998</v>
      </c>
      <c r="M57" s="1915">
        <v>300.851</v>
      </c>
      <c r="N57" s="1915">
        <v>304.30500000000001</v>
      </c>
      <c r="O57" s="1915"/>
      <c r="P57" s="1915"/>
      <c r="Q57" s="1915"/>
      <c r="R57" s="1826"/>
    </row>
    <row r="58" spans="1:24" s="1916" customFormat="1">
      <c r="A58" s="1911" t="s">
        <v>904</v>
      </c>
      <c r="B58" s="1912" t="s">
        <v>905</v>
      </c>
      <c r="C58" s="757" t="s">
        <v>801</v>
      </c>
      <c r="D58" s="1913"/>
      <c r="E58" s="1914">
        <v>52.198999999999998</v>
      </c>
      <c r="F58" s="1914"/>
      <c r="G58" s="1915">
        <v>55.604999999999997</v>
      </c>
      <c r="H58" s="1914"/>
      <c r="I58" s="1915">
        <v>55.101999999999997</v>
      </c>
      <c r="J58" s="1914"/>
      <c r="K58" s="1915">
        <v>53.427999999999997</v>
      </c>
      <c r="L58" s="1915">
        <v>53.574999999999996</v>
      </c>
      <c r="M58" s="1915">
        <v>53.455999999999996</v>
      </c>
      <c r="N58" s="1915">
        <v>53.48</v>
      </c>
      <c r="O58" s="1915"/>
      <c r="P58" s="1915"/>
      <c r="Q58" s="1915"/>
      <c r="R58" s="1826"/>
    </row>
    <row r="59" spans="1:24" s="1916" customFormat="1" ht="20.25" hidden="1" customHeight="1">
      <c r="A59" s="1911" t="s">
        <v>906</v>
      </c>
      <c r="B59" s="1912" t="s">
        <v>907</v>
      </c>
      <c r="C59" s="757" t="s">
        <v>801</v>
      </c>
      <c r="D59" s="1913"/>
      <c r="E59" s="1914">
        <v>164.655</v>
      </c>
      <c r="F59" s="1914"/>
      <c r="G59" s="1915">
        <v>238.89400000000001</v>
      </c>
      <c r="H59" s="3497" t="s">
        <v>908</v>
      </c>
      <c r="I59" s="3498"/>
      <c r="J59" s="3498"/>
      <c r="K59" s="3498"/>
      <c r="L59" s="3498"/>
      <c r="M59" s="3498"/>
      <c r="N59" s="3519"/>
      <c r="O59" s="1914"/>
      <c r="P59" s="1914"/>
      <c r="Q59" s="1914"/>
      <c r="R59" s="1826"/>
    </row>
    <row r="60" spans="1:24" ht="15.75">
      <c r="A60" s="1868" t="s">
        <v>909</v>
      </c>
      <c r="B60" s="1904" t="s">
        <v>910</v>
      </c>
      <c r="C60" s="1870" t="s">
        <v>801</v>
      </c>
      <c r="D60" s="1910"/>
      <c r="E60" s="754">
        <v>32377.020419999997</v>
      </c>
      <c r="F60" s="754"/>
      <c r="G60" s="753">
        <v>33518.750999999997</v>
      </c>
      <c r="H60" s="754"/>
      <c r="I60" s="753">
        <v>31770.644</v>
      </c>
      <c r="J60" s="753"/>
      <c r="K60" s="753">
        <v>30454.254000000001</v>
      </c>
      <c r="L60" s="753">
        <v>31038.476999999999</v>
      </c>
      <c r="M60" s="753">
        <v>30743.557000000001</v>
      </c>
      <c r="N60" s="753">
        <v>31326.308000000001</v>
      </c>
      <c r="O60" s="753"/>
      <c r="P60" s="753"/>
      <c r="Q60" s="753"/>
    </row>
    <row r="61" spans="1:24" s="1853" customFormat="1" ht="15.75">
      <c r="A61" s="1880">
        <v>7</v>
      </c>
      <c r="B61" s="1881" t="s">
        <v>911</v>
      </c>
      <c r="C61" s="1882"/>
      <c r="D61" s="1883" t="s">
        <v>830</v>
      </c>
      <c r="E61" s="1851" t="s">
        <v>830</v>
      </c>
      <c r="F61" s="1851" t="s">
        <v>830</v>
      </c>
      <c r="G61" s="1851" t="s">
        <v>830</v>
      </c>
      <c r="H61" s="1851" t="s">
        <v>830</v>
      </c>
      <c r="I61" s="1851" t="s">
        <v>830</v>
      </c>
      <c r="J61" s="1851" t="s">
        <v>830</v>
      </c>
      <c r="K61" s="1851" t="s">
        <v>830</v>
      </c>
      <c r="L61" s="1851" t="s">
        <v>830</v>
      </c>
      <c r="M61" s="1851" t="s">
        <v>830</v>
      </c>
      <c r="N61" s="1851" t="s">
        <v>830</v>
      </c>
      <c r="O61" s="2533"/>
      <c r="P61" s="2533"/>
      <c r="Q61" s="2533"/>
      <c r="R61" s="1852"/>
    </row>
    <row r="62" spans="1:24" s="1890" customFormat="1" ht="15.75" hidden="1" customHeight="1">
      <c r="A62" s="1884" t="s">
        <v>912</v>
      </c>
      <c r="B62" s="1885" t="s">
        <v>913</v>
      </c>
      <c r="C62" s="1886" t="s">
        <v>801</v>
      </c>
      <c r="D62" s="1888" t="s">
        <v>830</v>
      </c>
      <c r="E62" s="1888" t="s">
        <v>830</v>
      </c>
      <c r="F62" s="1888" t="s">
        <v>830</v>
      </c>
      <c r="G62" s="1888" t="s">
        <v>830</v>
      </c>
      <c r="H62" s="1888" t="s">
        <v>830</v>
      </c>
      <c r="I62" s="1888" t="s">
        <v>830</v>
      </c>
      <c r="J62" s="1888" t="s">
        <v>830</v>
      </c>
      <c r="K62" s="1888" t="s">
        <v>830</v>
      </c>
      <c r="L62" s="1888" t="s">
        <v>830</v>
      </c>
      <c r="M62" s="1888" t="s">
        <v>830</v>
      </c>
      <c r="N62" s="1888" t="s">
        <v>830</v>
      </c>
      <c r="O62" s="1888"/>
      <c r="P62" s="1888"/>
      <c r="Q62" s="1888"/>
      <c r="R62" s="1889"/>
    </row>
    <row r="63" spans="1:24" s="1890" customFormat="1" ht="15.75" hidden="1" customHeight="1">
      <c r="A63" s="1884" t="s">
        <v>914</v>
      </c>
      <c r="B63" s="1885" t="s">
        <v>894</v>
      </c>
      <c r="C63" s="1886"/>
      <c r="D63" s="1888" t="s">
        <v>830</v>
      </c>
      <c r="E63" s="1888" t="s">
        <v>830</v>
      </c>
      <c r="F63" s="1888" t="s">
        <v>830</v>
      </c>
      <c r="G63" s="1888" t="s">
        <v>830</v>
      </c>
      <c r="H63" s="1888" t="s">
        <v>830</v>
      </c>
      <c r="I63" s="1888" t="s">
        <v>830</v>
      </c>
      <c r="J63" s="1888" t="s">
        <v>830</v>
      </c>
      <c r="K63" s="1888" t="s">
        <v>830</v>
      </c>
      <c r="L63" s="1888" t="s">
        <v>830</v>
      </c>
      <c r="M63" s="1888" t="s">
        <v>830</v>
      </c>
      <c r="N63" s="1888" t="s">
        <v>830</v>
      </c>
      <c r="O63" s="1888"/>
      <c r="P63" s="1888"/>
      <c r="Q63" s="1888"/>
      <c r="R63" s="1889"/>
    </row>
    <row r="64" spans="1:24" s="1890" customFormat="1" ht="15.75" hidden="1" customHeight="1">
      <c r="A64" s="1917" t="s">
        <v>915</v>
      </c>
      <c r="B64" s="1918" t="s">
        <v>897</v>
      </c>
      <c r="C64" s="1886" t="s">
        <v>801</v>
      </c>
      <c r="D64" s="1888" t="s">
        <v>830</v>
      </c>
      <c r="E64" s="1888" t="s">
        <v>830</v>
      </c>
      <c r="F64" s="1888" t="s">
        <v>830</v>
      </c>
      <c r="G64" s="1888" t="s">
        <v>830</v>
      </c>
      <c r="H64" s="1888" t="s">
        <v>830</v>
      </c>
      <c r="I64" s="1888" t="s">
        <v>830</v>
      </c>
      <c r="J64" s="1888" t="s">
        <v>830</v>
      </c>
      <c r="K64" s="1888" t="s">
        <v>830</v>
      </c>
      <c r="L64" s="1888" t="s">
        <v>830</v>
      </c>
      <c r="M64" s="1888" t="s">
        <v>830</v>
      </c>
      <c r="N64" s="1888" t="s">
        <v>830</v>
      </c>
      <c r="O64" s="1888"/>
      <c r="P64" s="1888"/>
      <c r="Q64" s="1888"/>
      <c r="R64" s="1889"/>
    </row>
    <row r="65" spans="1:18" s="1890" customFormat="1" ht="15.75" hidden="1" customHeight="1">
      <c r="A65" s="1884" t="s">
        <v>916</v>
      </c>
      <c r="B65" s="1885" t="s">
        <v>816</v>
      </c>
      <c r="C65" s="1886" t="s">
        <v>801</v>
      </c>
      <c r="D65" s="1888" t="s">
        <v>830</v>
      </c>
      <c r="E65" s="1888" t="s">
        <v>830</v>
      </c>
      <c r="F65" s="1888" t="s">
        <v>830</v>
      </c>
      <c r="G65" s="1888" t="s">
        <v>830</v>
      </c>
      <c r="H65" s="1888" t="s">
        <v>830</v>
      </c>
      <c r="I65" s="1888" t="s">
        <v>830</v>
      </c>
      <c r="J65" s="1888" t="s">
        <v>830</v>
      </c>
      <c r="K65" s="1888" t="s">
        <v>830</v>
      </c>
      <c r="L65" s="1888" t="s">
        <v>830</v>
      </c>
      <c r="M65" s="1888" t="s">
        <v>830</v>
      </c>
      <c r="N65" s="1888" t="s">
        <v>830</v>
      </c>
      <c r="O65" s="1888"/>
      <c r="P65" s="1888"/>
      <c r="Q65" s="1888"/>
      <c r="R65" s="1889"/>
    </row>
    <row r="66" spans="1:18" s="1890" customFormat="1" ht="15.75" hidden="1" customHeight="1">
      <c r="A66" s="1917" t="s">
        <v>917</v>
      </c>
      <c r="B66" s="1918" t="s">
        <v>900</v>
      </c>
      <c r="C66" s="1886" t="s">
        <v>801</v>
      </c>
      <c r="D66" s="1888" t="s">
        <v>830</v>
      </c>
      <c r="E66" s="1888" t="s">
        <v>830</v>
      </c>
      <c r="F66" s="1888" t="s">
        <v>830</v>
      </c>
      <c r="G66" s="1888" t="s">
        <v>830</v>
      </c>
      <c r="H66" s="1888" t="s">
        <v>830</v>
      </c>
      <c r="I66" s="1888" t="s">
        <v>830</v>
      </c>
      <c r="J66" s="1888" t="s">
        <v>830</v>
      </c>
      <c r="K66" s="1888" t="s">
        <v>830</v>
      </c>
      <c r="L66" s="1888" t="s">
        <v>830</v>
      </c>
      <c r="M66" s="1888" t="s">
        <v>830</v>
      </c>
      <c r="N66" s="1888" t="s">
        <v>830</v>
      </c>
      <c r="O66" s="1888"/>
      <c r="P66" s="1888"/>
      <c r="Q66" s="1888"/>
      <c r="R66" s="1889"/>
    </row>
    <row r="67" spans="1:18" s="1890" customFormat="1" ht="15.75" hidden="1" customHeight="1">
      <c r="A67" s="1919" t="s">
        <v>918</v>
      </c>
      <c r="B67" s="1920" t="s">
        <v>919</v>
      </c>
      <c r="C67" s="1886" t="s">
        <v>801</v>
      </c>
      <c r="D67" s="1888" t="s">
        <v>830</v>
      </c>
      <c r="E67" s="1888" t="s">
        <v>830</v>
      </c>
      <c r="F67" s="1888" t="s">
        <v>830</v>
      </c>
      <c r="G67" s="1888" t="s">
        <v>830</v>
      </c>
      <c r="H67" s="1888" t="s">
        <v>830</v>
      </c>
      <c r="I67" s="1888" t="s">
        <v>830</v>
      </c>
      <c r="J67" s="1888" t="s">
        <v>830</v>
      </c>
      <c r="K67" s="1888" t="s">
        <v>830</v>
      </c>
      <c r="L67" s="1888" t="s">
        <v>830</v>
      </c>
      <c r="M67" s="1888" t="s">
        <v>830</v>
      </c>
      <c r="N67" s="1888" t="s">
        <v>830</v>
      </c>
      <c r="O67" s="1888"/>
      <c r="P67" s="1888"/>
      <c r="Q67" s="1888"/>
      <c r="R67" s="1889"/>
    </row>
    <row r="68" spans="1:18" s="1890" customFormat="1" ht="15.75" hidden="1" customHeight="1">
      <c r="A68" s="1919" t="s">
        <v>920</v>
      </c>
      <c r="B68" s="1920" t="s">
        <v>921</v>
      </c>
      <c r="C68" s="1886" t="s">
        <v>801</v>
      </c>
      <c r="D68" s="1888" t="s">
        <v>830</v>
      </c>
      <c r="E68" s="1888" t="s">
        <v>830</v>
      </c>
      <c r="F68" s="1888" t="s">
        <v>830</v>
      </c>
      <c r="G68" s="1888" t="s">
        <v>830</v>
      </c>
      <c r="H68" s="1888" t="s">
        <v>830</v>
      </c>
      <c r="I68" s="1888" t="s">
        <v>830</v>
      </c>
      <c r="J68" s="1888" t="s">
        <v>830</v>
      </c>
      <c r="K68" s="1888" t="s">
        <v>830</v>
      </c>
      <c r="L68" s="1888" t="s">
        <v>830</v>
      </c>
      <c r="M68" s="1888" t="s">
        <v>830</v>
      </c>
      <c r="N68" s="1888" t="s">
        <v>830</v>
      </c>
      <c r="O68" s="1888"/>
      <c r="P68" s="1888"/>
      <c r="Q68" s="1888"/>
      <c r="R68" s="1889"/>
    </row>
    <row r="69" spans="1:18" s="1890" customFormat="1" ht="15.75" hidden="1" customHeight="1">
      <c r="A69" s="1919" t="s">
        <v>922</v>
      </c>
      <c r="B69" s="1920" t="s">
        <v>923</v>
      </c>
      <c r="C69" s="1886" t="s">
        <v>801</v>
      </c>
      <c r="D69" s="1888" t="s">
        <v>830</v>
      </c>
      <c r="E69" s="1888" t="s">
        <v>830</v>
      </c>
      <c r="F69" s="1888" t="s">
        <v>830</v>
      </c>
      <c r="G69" s="1888" t="s">
        <v>830</v>
      </c>
      <c r="H69" s="1888" t="s">
        <v>830</v>
      </c>
      <c r="I69" s="1888" t="s">
        <v>830</v>
      </c>
      <c r="J69" s="1888" t="s">
        <v>830</v>
      </c>
      <c r="K69" s="1888" t="s">
        <v>830</v>
      </c>
      <c r="L69" s="1888" t="s">
        <v>830</v>
      </c>
      <c r="M69" s="1888" t="s">
        <v>830</v>
      </c>
      <c r="N69" s="1888" t="s">
        <v>830</v>
      </c>
      <c r="O69" s="1888"/>
      <c r="P69" s="1888"/>
      <c r="Q69" s="1888"/>
      <c r="R69" s="1889"/>
    </row>
    <row r="70" spans="1:18" s="1890" customFormat="1" ht="15.75" hidden="1" customHeight="1">
      <c r="A70" s="1917" t="s">
        <v>924</v>
      </c>
      <c r="B70" s="1918" t="s">
        <v>910</v>
      </c>
      <c r="C70" s="1886" t="s">
        <v>801</v>
      </c>
      <c r="D70" s="1888" t="s">
        <v>830</v>
      </c>
      <c r="E70" s="1888" t="s">
        <v>830</v>
      </c>
      <c r="F70" s="1888" t="s">
        <v>830</v>
      </c>
      <c r="G70" s="1888" t="s">
        <v>830</v>
      </c>
      <c r="H70" s="1888" t="s">
        <v>830</v>
      </c>
      <c r="I70" s="1888" t="s">
        <v>830</v>
      </c>
      <c r="J70" s="1888" t="s">
        <v>830</v>
      </c>
      <c r="K70" s="1888" t="s">
        <v>830</v>
      </c>
      <c r="L70" s="1888" t="s">
        <v>830</v>
      </c>
      <c r="M70" s="1888" t="s">
        <v>830</v>
      </c>
      <c r="N70" s="1888" t="s">
        <v>830</v>
      </c>
      <c r="O70" s="1888"/>
      <c r="P70" s="1888"/>
      <c r="Q70" s="1888"/>
      <c r="R70" s="1889"/>
    </row>
    <row r="71" spans="1:18" s="1853" customFormat="1" ht="15.75">
      <c r="A71" s="1880">
        <v>8</v>
      </c>
      <c r="B71" s="1881" t="s">
        <v>925</v>
      </c>
      <c r="C71" s="1882"/>
      <c r="D71" s="1883" t="s">
        <v>830</v>
      </c>
      <c r="E71" s="1851" t="s">
        <v>830</v>
      </c>
      <c r="F71" s="1851" t="s">
        <v>830</v>
      </c>
      <c r="G71" s="1851" t="s">
        <v>830</v>
      </c>
      <c r="H71" s="1851" t="s">
        <v>830</v>
      </c>
      <c r="I71" s="1851" t="s">
        <v>830</v>
      </c>
      <c r="J71" s="1851" t="s">
        <v>830</v>
      </c>
      <c r="K71" s="1851" t="s">
        <v>830</v>
      </c>
      <c r="L71" s="1851" t="s">
        <v>830</v>
      </c>
      <c r="M71" s="1851" t="s">
        <v>830</v>
      </c>
      <c r="N71" s="1851" t="s">
        <v>830</v>
      </c>
      <c r="O71" s="2533"/>
      <c r="P71" s="2533"/>
      <c r="Q71" s="2533"/>
      <c r="R71" s="1852"/>
    </row>
    <row r="72" spans="1:18" s="1863" customFormat="1" ht="15.75" hidden="1" customHeight="1">
      <c r="A72" s="1892" t="s">
        <v>926</v>
      </c>
      <c r="B72" s="1893" t="s">
        <v>913</v>
      </c>
      <c r="C72" s="1894" t="s">
        <v>801</v>
      </c>
      <c r="D72" s="1896"/>
      <c r="E72" s="1896"/>
      <c r="F72" s="1897"/>
      <c r="G72" s="1897"/>
      <c r="H72" s="1897"/>
      <c r="I72" s="1897"/>
      <c r="J72" s="1896"/>
      <c r="K72" s="1896"/>
      <c r="L72" s="1897"/>
      <c r="M72" s="1897"/>
      <c r="N72" s="1897"/>
      <c r="O72" s="1897"/>
      <c r="P72" s="1897"/>
      <c r="Q72" s="1897"/>
      <c r="R72" s="1862"/>
    </row>
    <row r="73" spans="1:18" s="1863" customFormat="1" ht="15.75" hidden="1" customHeight="1">
      <c r="A73" s="1921" t="s">
        <v>927</v>
      </c>
      <c r="B73" s="1922" t="s">
        <v>888</v>
      </c>
      <c r="C73" s="1894" t="s">
        <v>801</v>
      </c>
      <c r="D73" s="1896"/>
      <c r="E73" s="1896"/>
      <c r="F73" s="1897"/>
      <c r="G73" s="1897"/>
      <c r="H73" s="1897"/>
      <c r="I73" s="1897"/>
      <c r="J73" s="1896"/>
      <c r="K73" s="1896"/>
      <c r="L73" s="1897"/>
      <c r="M73" s="1897"/>
      <c r="N73" s="1897"/>
      <c r="O73" s="1897"/>
      <c r="P73" s="1897"/>
      <c r="Q73" s="1897"/>
      <c r="R73" s="1862"/>
    </row>
    <row r="74" spans="1:18" s="1863" customFormat="1" ht="15.75" hidden="1" customHeight="1">
      <c r="A74" s="1921" t="s">
        <v>928</v>
      </c>
      <c r="B74" s="1922" t="s">
        <v>890</v>
      </c>
      <c r="C74" s="1894" t="s">
        <v>801</v>
      </c>
      <c r="D74" s="1896"/>
      <c r="E74" s="1896"/>
      <c r="F74" s="1897"/>
      <c r="G74" s="1897"/>
      <c r="H74" s="1897"/>
      <c r="I74" s="1897"/>
      <c r="J74" s="1896"/>
      <c r="K74" s="1896"/>
      <c r="L74" s="1897"/>
      <c r="M74" s="1897"/>
      <c r="N74" s="1897"/>
      <c r="O74" s="1897"/>
      <c r="P74" s="1897"/>
      <c r="Q74" s="1897"/>
      <c r="R74" s="1862"/>
    </row>
    <row r="75" spans="1:18" s="1863" customFormat="1" ht="15.75" hidden="1" customHeight="1">
      <c r="A75" s="1921" t="s">
        <v>929</v>
      </c>
      <c r="B75" s="1922" t="s">
        <v>930</v>
      </c>
      <c r="C75" s="1894" t="s">
        <v>801</v>
      </c>
      <c r="D75" s="1896"/>
      <c r="E75" s="1896"/>
      <c r="F75" s="1897"/>
      <c r="G75" s="1897"/>
      <c r="H75" s="1897"/>
      <c r="I75" s="1897"/>
      <c r="J75" s="1896"/>
      <c r="K75" s="1896"/>
      <c r="L75" s="1897"/>
      <c r="M75" s="1897"/>
      <c r="N75" s="1897"/>
      <c r="O75" s="1897"/>
      <c r="P75" s="1897"/>
      <c r="Q75" s="1897"/>
      <c r="R75" s="1862"/>
    </row>
    <row r="76" spans="1:18" s="1863" customFormat="1" ht="15.75" hidden="1" customHeight="1">
      <c r="A76" s="1921" t="s">
        <v>931</v>
      </c>
      <c r="B76" s="1922" t="s">
        <v>932</v>
      </c>
      <c r="C76" s="1894" t="s">
        <v>801</v>
      </c>
      <c r="D76" s="1896"/>
      <c r="E76" s="1896"/>
      <c r="F76" s="1897"/>
      <c r="G76" s="1897"/>
      <c r="H76" s="1897"/>
      <c r="I76" s="1897"/>
      <c r="J76" s="1896"/>
      <c r="K76" s="1896"/>
      <c r="L76" s="1897"/>
      <c r="M76" s="1897"/>
      <c r="N76" s="1897"/>
      <c r="O76" s="1897"/>
      <c r="P76" s="1897"/>
      <c r="Q76" s="1897"/>
      <c r="R76" s="1862"/>
    </row>
    <row r="77" spans="1:18" s="1863" customFormat="1" ht="15.75" hidden="1" customHeight="1">
      <c r="A77" s="1897" t="s">
        <v>933</v>
      </c>
      <c r="B77" s="1923" t="s">
        <v>934</v>
      </c>
      <c r="C77" s="1894" t="s">
        <v>801</v>
      </c>
      <c r="D77" s="1896"/>
      <c r="E77" s="1896"/>
      <c r="F77" s="1897"/>
      <c r="G77" s="1897"/>
      <c r="H77" s="1897"/>
      <c r="I77" s="1897"/>
      <c r="J77" s="1896"/>
      <c r="K77" s="1896"/>
      <c r="L77" s="1897"/>
      <c r="M77" s="1897"/>
      <c r="N77" s="1897"/>
      <c r="O77" s="1897"/>
      <c r="P77" s="1897"/>
      <c r="Q77" s="1897"/>
      <c r="R77" s="1862"/>
    </row>
    <row r="78" spans="1:18" s="1863" customFormat="1" ht="15.75" hidden="1" customHeight="1">
      <c r="A78" s="1897" t="s">
        <v>935</v>
      </c>
      <c r="B78" s="1923" t="s">
        <v>936</v>
      </c>
      <c r="C78" s="1894" t="s">
        <v>801</v>
      </c>
      <c r="D78" s="1896"/>
      <c r="E78" s="1896"/>
      <c r="F78" s="1897"/>
      <c r="G78" s="1897"/>
      <c r="H78" s="1897"/>
      <c r="I78" s="1897"/>
      <c r="J78" s="1896"/>
      <c r="K78" s="1896"/>
      <c r="L78" s="1897"/>
      <c r="M78" s="1897"/>
      <c r="N78" s="1897"/>
      <c r="O78" s="1897"/>
      <c r="P78" s="1897"/>
      <c r="Q78" s="1897"/>
      <c r="R78" s="1862"/>
    </row>
    <row r="79" spans="1:18" s="1863" customFormat="1" ht="15.75" hidden="1" customHeight="1">
      <c r="A79" s="1892" t="s">
        <v>937</v>
      </c>
      <c r="B79" s="1893" t="s">
        <v>894</v>
      </c>
      <c r="C79" s="1894"/>
      <c r="D79" s="1896"/>
      <c r="E79" s="1896"/>
      <c r="F79" s="1897"/>
      <c r="G79" s="1897"/>
      <c r="H79" s="1897"/>
      <c r="I79" s="1897"/>
      <c r="J79" s="1896"/>
      <c r="K79" s="1896"/>
      <c r="L79" s="1897"/>
      <c r="M79" s="1897"/>
      <c r="N79" s="1897"/>
      <c r="O79" s="1897"/>
      <c r="P79" s="1897"/>
      <c r="Q79" s="1897"/>
      <c r="R79" s="1862"/>
    </row>
    <row r="80" spans="1:18" s="1863" customFormat="1" ht="15.75" hidden="1" customHeight="1">
      <c r="A80" s="1921" t="s">
        <v>938</v>
      </c>
      <c r="B80" s="1922" t="s">
        <v>897</v>
      </c>
      <c r="C80" s="1894" t="s">
        <v>801</v>
      </c>
      <c r="D80" s="1896"/>
      <c r="E80" s="1896"/>
      <c r="F80" s="1897"/>
      <c r="G80" s="1897"/>
      <c r="H80" s="1897"/>
      <c r="I80" s="1897"/>
      <c r="J80" s="1896"/>
      <c r="K80" s="1896"/>
      <c r="L80" s="1897"/>
      <c r="M80" s="1897"/>
      <c r="N80" s="1897"/>
      <c r="O80" s="1897"/>
      <c r="P80" s="1897"/>
      <c r="Q80" s="1897"/>
      <c r="R80" s="1862"/>
    </row>
    <row r="81" spans="1:18" s="1863" customFormat="1" ht="15.75" hidden="1" customHeight="1">
      <c r="A81" s="1892" t="s">
        <v>939</v>
      </c>
      <c r="B81" s="1893" t="s">
        <v>816</v>
      </c>
      <c r="C81" s="1894" t="s">
        <v>801</v>
      </c>
      <c r="D81" s="1896"/>
      <c r="E81" s="1896"/>
      <c r="F81" s="1897"/>
      <c r="G81" s="1897"/>
      <c r="H81" s="1897"/>
      <c r="I81" s="1897"/>
      <c r="J81" s="1896"/>
      <c r="K81" s="1896"/>
      <c r="L81" s="1897"/>
      <c r="M81" s="1897"/>
      <c r="N81" s="1897"/>
      <c r="O81" s="1897"/>
      <c r="P81" s="1897"/>
      <c r="Q81" s="1897"/>
      <c r="R81" s="1862"/>
    </row>
    <row r="82" spans="1:18" s="1863" customFormat="1" ht="15.75" hidden="1" customHeight="1">
      <c r="A82" s="1921" t="s">
        <v>940</v>
      </c>
      <c r="B82" s="1922" t="s">
        <v>900</v>
      </c>
      <c r="C82" s="1894" t="s">
        <v>801</v>
      </c>
      <c r="D82" s="1896"/>
      <c r="E82" s="1896"/>
      <c r="F82" s="1897"/>
      <c r="G82" s="1897"/>
      <c r="H82" s="1897"/>
      <c r="I82" s="1897"/>
      <c r="J82" s="1896"/>
      <c r="K82" s="1896"/>
      <c r="L82" s="1897"/>
      <c r="M82" s="1897"/>
      <c r="N82" s="1897"/>
      <c r="O82" s="1897"/>
      <c r="P82" s="1897"/>
      <c r="Q82" s="1897"/>
      <c r="R82" s="1862"/>
    </row>
    <row r="83" spans="1:18" s="1863" customFormat="1" ht="15.75" hidden="1" customHeight="1">
      <c r="A83" s="1897" t="s">
        <v>941</v>
      </c>
      <c r="B83" s="1923" t="s">
        <v>919</v>
      </c>
      <c r="C83" s="1894" t="s">
        <v>801</v>
      </c>
      <c r="D83" s="1896"/>
      <c r="E83" s="1896"/>
      <c r="F83" s="1897"/>
      <c r="G83" s="1897"/>
      <c r="H83" s="1897"/>
      <c r="I83" s="1897"/>
      <c r="J83" s="1896"/>
      <c r="K83" s="1896"/>
      <c r="L83" s="1897"/>
      <c r="M83" s="1897"/>
      <c r="N83" s="1897"/>
      <c r="O83" s="1897"/>
      <c r="P83" s="1897"/>
      <c r="Q83" s="1897"/>
      <c r="R83" s="1862"/>
    </row>
    <row r="84" spans="1:18" s="1863" customFormat="1" ht="15.75" hidden="1" customHeight="1">
      <c r="A84" s="1897" t="s">
        <v>942</v>
      </c>
      <c r="B84" s="1923" t="s">
        <v>921</v>
      </c>
      <c r="C84" s="1894" t="s">
        <v>801</v>
      </c>
      <c r="D84" s="1896"/>
      <c r="E84" s="1896"/>
      <c r="F84" s="1897"/>
      <c r="G84" s="1897"/>
      <c r="H84" s="1897"/>
      <c r="I84" s="1897"/>
      <c r="J84" s="1896"/>
      <c r="K84" s="1896"/>
      <c r="L84" s="1897"/>
      <c r="M84" s="1897"/>
      <c r="N84" s="1897"/>
      <c r="O84" s="1897"/>
      <c r="P84" s="1897"/>
      <c r="Q84" s="1897"/>
      <c r="R84" s="1862"/>
    </row>
    <row r="85" spans="1:18" s="1863" customFormat="1" ht="15.75" hidden="1" customHeight="1">
      <c r="A85" s="1897" t="s">
        <v>943</v>
      </c>
      <c r="B85" s="1923" t="s">
        <v>923</v>
      </c>
      <c r="C85" s="1894" t="s">
        <v>801</v>
      </c>
      <c r="D85" s="1896"/>
      <c r="E85" s="1896"/>
      <c r="F85" s="1897"/>
      <c r="G85" s="1897"/>
      <c r="H85" s="1897"/>
      <c r="I85" s="1897"/>
      <c r="J85" s="1896"/>
      <c r="K85" s="1896"/>
      <c r="L85" s="1897"/>
      <c r="M85" s="1897"/>
      <c r="N85" s="1897"/>
      <c r="O85" s="1897"/>
      <c r="P85" s="1897"/>
      <c r="Q85" s="1897"/>
      <c r="R85" s="1862"/>
    </row>
    <row r="86" spans="1:18" s="1863" customFormat="1" ht="15.75" hidden="1" customHeight="1">
      <c r="A86" s="1921" t="s">
        <v>944</v>
      </c>
      <c r="B86" s="1922" t="s">
        <v>910</v>
      </c>
      <c r="C86" s="1894" t="s">
        <v>801</v>
      </c>
      <c r="D86" s="1896"/>
      <c r="E86" s="1896"/>
      <c r="F86" s="1897"/>
      <c r="G86" s="1897"/>
      <c r="H86" s="1897"/>
      <c r="I86" s="1897"/>
      <c r="J86" s="1896"/>
      <c r="K86" s="1896"/>
      <c r="L86" s="1897"/>
      <c r="M86" s="1897"/>
      <c r="N86" s="1897"/>
      <c r="O86" s="1897"/>
      <c r="P86" s="1897"/>
      <c r="Q86" s="1897"/>
      <c r="R86" s="1862"/>
    </row>
    <row r="87" spans="1:18" s="1927" customFormat="1" ht="15.75">
      <c r="A87" s="1899">
        <v>9</v>
      </c>
      <c r="B87" s="1900" t="s">
        <v>945</v>
      </c>
      <c r="C87" s="1924" t="s">
        <v>801</v>
      </c>
      <c r="D87" s="1903"/>
      <c r="E87" s="1925">
        <v>86.509364383561646</v>
      </c>
      <c r="F87" s="1899"/>
      <c r="G87" s="1925">
        <v>86.272999999999996</v>
      </c>
      <c r="H87" s="1899"/>
      <c r="I87" s="1925">
        <v>22.029565000000002</v>
      </c>
      <c r="J87" s="1903"/>
      <c r="K87" s="1925">
        <v>22.029565000000002</v>
      </c>
      <c r="L87" s="1925">
        <v>22.09</v>
      </c>
      <c r="M87" s="1925">
        <v>22.029565000000002</v>
      </c>
      <c r="N87" s="1925">
        <v>22.029565000000002</v>
      </c>
      <c r="O87" s="1925"/>
      <c r="P87" s="1925"/>
      <c r="Q87" s="1925"/>
      <c r="R87" s="1926"/>
    </row>
    <row r="88" spans="1:18" ht="31.5">
      <c r="A88" s="1871" t="s">
        <v>946</v>
      </c>
      <c r="B88" s="798" t="s">
        <v>947</v>
      </c>
      <c r="C88" s="799" t="s">
        <v>801</v>
      </c>
      <c r="D88" s="1928"/>
      <c r="E88" s="754">
        <v>89.945753424657539</v>
      </c>
      <c r="F88" s="1929"/>
      <c r="G88" s="754">
        <v>89.7</v>
      </c>
      <c r="H88" s="1929"/>
      <c r="I88" s="754">
        <v>27.417000000000002</v>
      </c>
      <c r="J88" s="1928"/>
      <c r="K88" s="754">
        <v>27.417000000000002</v>
      </c>
      <c r="L88" s="753">
        <v>27.492000000000001</v>
      </c>
      <c r="M88" s="753">
        <v>27.417000000000002</v>
      </c>
      <c r="N88" s="753">
        <v>27.417000000000002</v>
      </c>
      <c r="O88" s="753"/>
      <c r="P88" s="753"/>
      <c r="Q88" s="753"/>
    </row>
    <row r="89" spans="1:18" ht="31.5">
      <c r="A89" s="1871" t="s">
        <v>948</v>
      </c>
      <c r="B89" s="798" t="s">
        <v>949</v>
      </c>
      <c r="C89" s="799" t="s">
        <v>801</v>
      </c>
      <c r="D89" s="1928"/>
      <c r="E89" s="754">
        <v>-3.4363890410958899</v>
      </c>
      <c r="F89" s="1929"/>
      <c r="G89" s="754">
        <v>-3.4269999999999996</v>
      </c>
      <c r="H89" s="1929"/>
      <c r="I89" s="754">
        <v>-5.387435</v>
      </c>
      <c r="J89" s="1928"/>
      <c r="K89" s="754">
        <v>-5.387435</v>
      </c>
      <c r="L89" s="753">
        <v>-5.4020000000000001</v>
      </c>
      <c r="M89" s="753">
        <v>-5.387435</v>
      </c>
      <c r="N89" s="753">
        <v>-5.387435</v>
      </c>
      <c r="O89" s="753"/>
      <c r="P89" s="753"/>
      <c r="Q89" s="753"/>
    </row>
    <row r="90" spans="1:18" s="1927" customFormat="1" ht="47.25">
      <c r="A90" s="1899">
        <v>10</v>
      </c>
      <c r="B90" s="1900" t="s">
        <v>950</v>
      </c>
      <c r="C90" s="1924" t="s">
        <v>801</v>
      </c>
      <c r="D90" s="1903"/>
      <c r="E90" s="1925">
        <v>7.28</v>
      </c>
      <c r="F90" s="1899"/>
      <c r="G90" s="1925">
        <v>992.33699999999999</v>
      </c>
      <c r="H90" s="1899"/>
      <c r="I90" s="1925">
        <v>73.666652999999997</v>
      </c>
      <c r="J90" s="1903"/>
      <c r="K90" s="1925">
        <v>-1024.3800000000001</v>
      </c>
      <c r="L90" s="1925">
        <v>432.608</v>
      </c>
      <c r="M90" s="1925">
        <v>283.899</v>
      </c>
      <c r="N90" s="1925">
        <v>248.41200000000001</v>
      </c>
      <c r="O90" s="1925"/>
      <c r="P90" s="1925"/>
      <c r="Q90" s="1925"/>
      <c r="R90" s="1926"/>
    </row>
    <row r="91" spans="1:18" s="762" customFormat="1" ht="15.75">
      <c r="A91" s="1899">
        <v>11</v>
      </c>
      <c r="B91" s="1900" t="s">
        <v>951</v>
      </c>
      <c r="C91" s="1930" t="s">
        <v>280</v>
      </c>
      <c r="D91" s="1931"/>
      <c r="E91" s="1931"/>
      <c r="F91" s="1932"/>
      <c r="G91" s="1932"/>
      <c r="H91" s="1932"/>
      <c r="I91" s="1932"/>
      <c r="J91" s="1931"/>
      <c r="K91" s="1931"/>
      <c r="L91" s="1933">
        <v>-1.0995654938457555E-2</v>
      </c>
      <c r="M91" s="1933">
        <v>-1.2540700883954451E-4</v>
      </c>
      <c r="N91" s="1933">
        <v>3.7812607588087163E-4</v>
      </c>
      <c r="O91" s="1933"/>
      <c r="P91" s="1933"/>
      <c r="Q91" s="1933"/>
      <c r="R91" s="1826"/>
    </row>
    <row r="92" spans="1:18" ht="18.75" customHeight="1">
      <c r="A92" s="1815"/>
      <c r="B92" s="1934"/>
      <c r="C92" s="1815"/>
      <c r="D92" s="1815"/>
      <c r="E92" s="1815"/>
      <c r="F92" s="1815"/>
      <c r="G92" s="1935"/>
      <c r="H92" s="1815"/>
      <c r="I92" s="1935"/>
      <c r="J92" s="1815"/>
      <c r="K92" s="1815"/>
      <c r="L92" s="1936"/>
      <c r="M92" s="1815"/>
      <c r="N92" s="1937"/>
      <c r="O92" s="1937"/>
      <c r="P92" s="1937"/>
      <c r="Q92" s="1937"/>
    </row>
    <row r="93" spans="1:18" s="811" customFormat="1" ht="30.75" customHeight="1">
      <c r="A93" s="3499" t="s">
        <v>841</v>
      </c>
      <c r="B93" s="3499"/>
      <c r="C93" s="1938"/>
      <c r="D93" s="1938"/>
      <c r="E93" s="1938"/>
      <c r="F93" s="1938"/>
      <c r="G93" s="1938"/>
      <c r="H93" s="1938"/>
      <c r="I93" s="1938"/>
      <c r="J93" s="1938"/>
      <c r="K93" s="1938"/>
      <c r="L93" s="1938"/>
      <c r="M93" s="812" t="s">
        <v>842</v>
      </c>
      <c r="N93" s="1938"/>
      <c r="O93" s="1938"/>
      <c r="P93" s="1938"/>
      <c r="Q93" s="1938"/>
      <c r="R93" s="1938"/>
    </row>
    <row r="94" spans="1:18" s="811" customFormat="1" ht="30.75" customHeight="1">
      <c r="A94" s="3499" t="s">
        <v>843</v>
      </c>
      <c r="B94" s="3499"/>
      <c r="C94" s="1938"/>
      <c r="D94" s="1938"/>
      <c r="E94" s="1938"/>
      <c r="F94" s="1938"/>
      <c r="G94" s="1938"/>
      <c r="H94" s="1938"/>
      <c r="I94" s="1938"/>
      <c r="J94" s="1938"/>
      <c r="K94" s="1938"/>
      <c r="L94" s="1938"/>
      <c r="M94" s="812" t="s">
        <v>844</v>
      </c>
      <c r="N94" s="1938"/>
      <c r="O94" s="1938"/>
      <c r="P94" s="1938"/>
      <c r="Q94" s="1938"/>
      <c r="R94" s="1938"/>
    </row>
  </sheetData>
  <mergeCells count="15">
    <mergeCell ref="O10:Q10"/>
    <mergeCell ref="N10:N11"/>
    <mergeCell ref="H59:N59"/>
    <mergeCell ref="A93:B93"/>
    <mergeCell ref="A94:B94"/>
    <mergeCell ref="A8:N8"/>
    <mergeCell ref="A10:A11"/>
    <mergeCell ref="B10:B11"/>
    <mergeCell ref="C10:C11"/>
    <mergeCell ref="D10:E10"/>
    <mergeCell ref="F10:G10"/>
    <mergeCell ref="H10:I10"/>
    <mergeCell ref="J10:K10"/>
    <mergeCell ref="L10:L11"/>
    <mergeCell ref="M10:M11"/>
  </mergeCells>
  <printOptions horizontalCentered="1"/>
  <pageMargins left="0.39370078740157483" right="0.19685039370078741" top="0.23622047244094491" bottom="0.19685039370078741" header="0.15748031496062992" footer="0.15748031496062992"/>
  <pageSetup paperSize="8" scale="8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2:AE82"/>
  <sheetViews>
    <sheetView topLeftCell="A43" zoomScale="75" zoomScaleNormal="75" workbookViewId="0">
      <selection activeCell="AC56" sqref="AC56"/>
    </sheetView>
  </sheetViews>
  <sheetFormatPr defaultRowHeight="15"/>
  <cols>
    <col min="1" max="1" width="5.140625" style="2049" customWidth="1"/>
    <col min="2" max="2" width="35.28515625" style="2049" customWidth="1"/>
    <col min="3" max="3" width="11" style="2049" customWidth="1"/>
    <col min="4" max="4" width="14.85546875" style="2049" hidden="1" customWidth="1"/>
    <col min="5" max="5" width="10.7109375" style="2049" hidden="1" customWidth="1"/>
    <col min="6" max="6" width="12.5703125" style="2049" hidden="1" customWidth="1"/>
    <col min="7" max="7" width="11.28515625" style="2049" hidden="1" customWidth="1"/>
    <col min="8" max="8" width="11.85546875" style="2049" hidden="1" customWidth="1"/>
    <col min="9" max="9" width="11.140625" style="2049" hidden="1" customWidth="1"/>
    <col min="10" max="10" width="10" style="2049" hidden="1" customWidth="1"/>
    <col min="11" max="11" width="11" style="2049" hidden="1" customWidth="1"/>
    <col min="12" max="12" width="11.140625" style="2049" hidden="1" customWidth="1"/>
    <col min="13" max="13" width="11.28515625" style="2049" hidden="1" customWidth="1"/>
    <col min="14" max="14" width="15.42578125" style="2049" hidden="1" customWidth="1"/>
    <col min="15" max="15" width="10.85546875" style="2049" customWidth="1"/>
    <col min="16" max="16" width="11.85546875" style="2049" customWidth="1"/>
    <col min="17" max="17" width="10.28515625" style="2049" customWidth="1"/>
    <col min="18" max="18" width="10.42578125" style="2049" customWidth="1"/>
    <col min="19" max="19" width="10.85546875" style="2049" customWidth="1"/>
    <col min="20" max="20" width="10.85546875" style="2049" hidden="1" customWidth="1"/>
    <col min="21" max="21" width="10.28515625" style="2049" hidden="1" customWidth="1"/>
    <col min="22" max="22" width="10" style="2049" hidden="1" customWidth="1"/>
    <col min="23" max="23" width="11.7109375" style="2049" hidden="1" customWidth="1"/>
    <col min="24" max="24" width="12" style="2049" hidden="1" customWidth="1"/>
    <col min="25" max="25" width="11.7109375" style="2049" hidden="1" customWidth="1"/>
    <col min="26" max="26" width="11.42578125" style="2049" customWidth="1"/>
    <col min="27" max="27" width="11.7109375" style="2049" customWidth="1"/>
    <col min="28" max="28" width="11.140625" style="2049" customWidth="1"/>
    <col min="29" max="29" width="17.140625" style="2049" customWidth="1"/>
    <col min="30" max="30" width="12" style="2049" customWidth="1"/>
    <col min="31" max="31" width="11" style="2049" customWidth="1"/>
    <col min="32" max="16384" width="9.140625" style="2049"/>
  </cols>
  <sheetData>
    <row r="2" spans="1:28" ht="16.5" customHeight="1">
      <c r="A2" s="3529" t="s">
        <v>1266</v>
      </c>
      <c r="B2" s="3529"/>
      <c r="C2" s="3529"/>
      <c r="D2" s="3529"/>
      <c r="E2" s="3529"/>
      <c r="F2" s="3529"/>
      <c r="G2" s="3529"/>
      <c r="H2" s="3529"/>
      <c r="I2" s="3529"/>
      <c r="J2" s="3529"/>
      <c r="K2" s="3529"/>
      <c r="L2" s="3529"/>
      <c r="M2" s="3529"/>
      <c r="N2" s="3529"/>
      <c r="O2" s="3529"/>
      <c r="P2" s="3529"/>
      <c r="Q2" s="3529"/>
      <c r="R2" s="3529"/>
      <c r="S2" s="3529"/>
      <c r="T2" s="3529"/>
      <c r="U2" s="3529"/>
      <c r="V2" s="3529"/>
      <c r="W2" s="3529"/>
      <c r="X2" s="3529"/>
      <c r="Y2" s="3529"/>
    </row>
    <row r="3" spans="1:28" ht="15.75" thickBot="1">
      <c r="A3" s="3530"/>
      <c r="B3" s="3530"/>
      <c r="C3" s="3530"/>
      <c r="D3" s="3530"/>
      <c r="E3" s="3530"/>
      <c r="F3" s="3530"/>
      <c r="G3" s="3530"/>
      <c r="H3" s="3530"/>
      <c r="I3" s="3530"/>
      <c r="J3" s="3530"/>
      <c r="K3" s="3530"/>
      <c r="L3" s="3530"/>
      <c r="M3" s="3530"/>
      <c r="N3" s="3530"/>
      <c r="O3" s="3530"/>
      <c r="P3" s="3530"/>
      <c r="Q3" s="3530"/>
      <c r="R3" s="3530"/>
      <c r="S3" s="3530"/>
      <c r="T3" s="3530"/>
      <c r="U3" s="3530"/>
      <c r="V3" s="3530"/>
      <c r="W3" s="3530"/>
      <c r="X3" s="3530"/>
      <c r="Y3" s="3530"/>
    </row>
    <row r="4" spans="1:28" ht="15.75" thickBot="1">
      <c r="A4" s="3478" t="s">
        <v>0</v>
      </c>
      <c r="B4" s="3478" t="s">
        <v>1</v>
      </c>
      <c r="C4" s="3488" t="s">
        <v>2</v>
      </c>
      <c r="D4" s="3531"/>
      <c r="E4" s="3532"/>
      <c r="F4" s="3532"/>
      <c r="G4" s="3532"/>
      <c r="H4" s="2050"/>
      <c r="I4" s="3533" t="s">
        <v>165</v>
      </c>
      <c r="J4" s="3533"/>
      <c r="K4" s="3533"/>
      <c r="L4" s="3533"/>
      <c r="M4" s="3533"/>
      <c r="N4" s="3533"/>
      <c r="O4" s="3533"/>
      <c r="P4" s="3533"/>
      <c r="Q4" s="3533"/>
      <c r="R4" s="3533"/>
      <c r="S4" s="3533"/>
      <c r="T4" s="3533"/>
      <c r="U4" s="3533"/>
      <c r="V4" s="3533"/>
      <c r="W4" s="3533"/>
      <c r="X4" s="3533"/>
      <c r="Y4" s="3534"/>
      <c r="Z4" s="3526" t="s">
        <v>1404</v>
      </c>
      <c r="AA4" s="3527"/>
      <c r="AB4" s="3528"/>
    </row>
    <row r="5" spans="1:28" ht="15.75" customHeight="1" thickBot="1">
      <c r="A5" s="3491"/>
      <c r="B5" s="3491"/>
      <c r="C5" s="3489"/>
      <c r="D5" s="3493">
        <v>2014</v>
      </c>
      <c r="E5" s="3535"/>
      <c r="F5" s="3535"/>
      <c r="G5" s="3494"/>
      <c r="H5" s="2051"/>
      <c r="I5" s="3521" t="s">
        <v>1198</v>
      </c>
      <c r="J5" s="3522"/>
      <c r="K5" s="3522"/>
      <c r="L5" s="3521" t="s">
        <v>1263</v>
      </c>
      <c r="M5" s="3522"/>
      <c r="N5" s="3523"/>
      <c r="O5" s="2052"/>
      <c r="P5" s="2051"/>
      <c r="Q5" s="3522">
        <v>2016</v>
      </c>
      <c r="R5" s="3522"/>
      <c r="S5" s="3523"/>
      <c r="T5" s="3521">
        <v>2017</v>
      </c>
      <c r="U5" s="3522"/>
      <c r="V5" s="3523"/>
      <c r="W5" s="3521">
        <v>2018</v>
      </c>
      <c r="X5" s="3522"/>
      <c r="Y5" s="3523"/>
      <c r="Z5" s="3526" t="s">
        <v>1684</v>
      </c>
      <c r="AA5" s="3527"/>
      <c r="AB5" s="3528"/>
    </row>
    <row r="6" spans="1:28" ht="90.75" thickBot="1">
      <c r="A6" s="3479"/>
      <c r="B6" s="3479"/>
      <c r="C6" s="3490"/>
      <c r="D6" s="2053" t="s">
        <v>7</v>
      </c>
      <c r="E6" s="2054" t="s">
        <v>540</v>
      </c>
      <c r="F6" s="2055" t="s">
        <v>541</v>
      </c>
      <c r="G6" s="2056" t="s">
        <v>1265</v>
      </c>
      <c r="H6" s="2057" t="s">
        <v>1267</v>
      </c>
      <c r="I6" s="2058" t="s">
        <v>167</v>
      </c>
      <c r="J6" s="2059" t="s">
        <v>540</v>
      </c>
      <c r="K6" s="2060" t="s">
        <v>541</v>
      </c>
      <c r="L6" s="2053">
        <v>2015</v>
      </c>
      <c r="M6" s="2061" t="s">
        <v>540</v>
      </c>
      <c r="N6" s="2062" t="s">
        <v>541</v>
      </c>
      <c r="O6" s="2862" t="s">
        <v>1363</v>
      </c>
      <c r="P6" s="2063" t="s">
        <v>1364</v>
      </c>
      <c r="Q6" s="2058" t="s">
        <v>394</v>
      </c>
      <c r="R6" s="2059" t="s">
        <v>540</v>
      </c>
      <c r="S6" s="2064" t="s">
        <v>541</v>
      </c>
      <c r="T6" s="2058" t="s">
        <v>395</v>
      </c>
      <c r="U6" s="2059" t="s">
        <v>540</v>
      </c>
      <c r="V6" s="2064" t="s">
        <v>541</v>
      </c>
      <c r="W6" s="2058" t="s">
        <v>1155</v>
      </c>
      <c r="X6" s="2059" t="s">
        <v>540</v>
      </c>
      <c r="Y6" s="2064" t="s">
        <v>541</v>
      </c>
      <c r="Z6" s="2058" t="s">
        <v>1685</v>
      </c>
      <c r="AA6" s="2059" t="s">
        <v>540</v>
      </c>
      <c r="AB6" s="2064" t="s">
        <v>541</v>
      </c>
    </row>
    <row r="7" spans="1:28">
      <c r="A7" s="2065">
        <v>1</v>
      </c>
      <c r="B7" s="2065">
        <v>2</v>
      </c>
      <c r="C7" s="2066">
        <v>3</v>
      </c>
      <c r="D7" s="2067">
        <v>4</v>
      </c>
      <c r="E7" s="2068">
        <v>5</v>
      </c>
      <c r="F7" s="2069">
        <v>6</v>
      </c>
      <c r="G7" s="2070">
        <v>7</v>
      </c>
      <c r="H7" s="2071"/>
      <c r="I7" s="2072">
        <v>8</v>
      </c>
      <c r="J7" s="2073">
        <v>9</v>
      </c>
      <c r="K7" s="2074">
        <v>10</v>
      </c>
      <c r="L7" s="2075">
        <v>11</v>
      </c>
      <c r="M7" s="2076">
        <v>12</v>
      </c>
      <c r="N7" s="2077">
        <v>13</v>
      </c>
      <c r="O7" s="2078"/>
      <c r="P7" s="2079"/>
      <c r="Q7" s="2075">
        <v>14</v>
      </c>
      <c r="R7" s="2068">
        <v>15</v>
      </c>
      <c r="S7" s="2844">
        <v>16</v>
      </c>
      <c r="T7" s="2075">
        <v>17</v>
      </c>
      <c r="U7" s="2080">
        <v>18</v>
      </c>
      <c r="V7" s="2081">
        <v>19</v>
      </c>
      <c r="W7" s="2075">
        <v>20</v>
      </c>
      <c r="X7" s="2080">
        <v>21</v>
      </c>
      <c r="Y7" s="2081">
        <v>22</v>
      </c>
      <c r="Z7" s="2075">
        <v>20</v>
      </c>
      <c r="AA7" s="2080">
        <v>21</v>
      </c>
      <c r="AB7" s="2081">
        <v>22</v>
      </c>
    </row>
    <row r="8" spans="1:28" ht="30">
      <c r="A8" s="2082"/>
      <c r="B8" s="2082" t="s">
        <v>627</v>
      </c>
      <c r="C8" s="2083"/>
      <c r="D8" s="2084"/>
      <c r="E8" s="2085">
        <v>0.59</v>
      </c>
      <c r="F8" s="2086">
        <v>0.41</v>
      </c>
      <c r="G8" s="2082"/>
      <c r="H8" s="2087"/>
      <c r="I8" s="2088"/>
      <c r="J8" s="2089"/>
      <c r="K8" s="2090"/>
      <c r="L8" s="2091"/>
      <c r="M8" s="2078">
        <v>0.59</v>
      </c>
      <c r="N8" s="2090">
        <v>0.41</v>
      </c>
      <c r="O8" s="2078"/>
      <c r="P8" s="2092"/>
      <c r="Q8" s="2091"/>
      <c r="R8" s="2085">
        <v>0.59</v>
      </c>
      <c r="S8" s="2845">
        <v>0.41</v>
      </c>
      <c r="T8" s="2091"/>
      <c r="U8" s="2093">
        <v>0.59</v>
      </c>
      <c r="V8" s="2094">
        <v>0.41</v>
      </c>
      <c r="W8" s="2091"/>
      <c r="X8" s="2093">
        <v>0.59</v>
      </c>
      <c r="Y8" s="2094">
        <v>0.41</v>
      </c>
      <c r="Z8" s="2091"/>
      <c r="AA8" s="2093"/>
      <c r="AB8" s="2094"/>
    </row>
    <row r="9" spans="1:28">
      <c r="A9" s="2082"/>
      <c r="B9" s="2082"/>
      <c r="C9" s="2083"/>
      <c r="D9" s="2084"/>
      <c r="E9" s="2085"/>
      <c r="F9" s="2086"/>
      <c r="G9" s="2082"/>
      <c r="H9" s="2087"/>
      <c r="I9" s="2088"/>
      <c r="J9" s="2089"/>
      <c r="K9" s="2090"/>
      <c r="L9" s="2091"/>
      <c r="M9" s="2078"/>
      <c r="N9" s="2090"/>
      <c r="O9" s="2078"/>
      <c r="P9" s="2092"/>
      <c r="Q9" s="2091"/>
      <c r="R9" s="2085"/>
      <c r="S9" s="2845"/>
      <c r="T9" s="2091"/>
      <c r="U9" s="2093"/>
      <c r="V9" s="2094"/>
      <c r="W9" s="2091"/>
      <c r="X9" s="2093"/>
      <c r="Y9" s="2094"/>
      <c r="Z9" s="2091"/>
      <c r="AA9" s="2093"/>
      <c r="AB9" s="2094"/>
    </row>
    <row r="10" spans="1:28" ht="41.25" customHeight="1" thickBot="1">
      <c r="A10" s="2095">
        <v>1</v>
      </c>
      <c r="B10" s="2096" t="s">
        <v>65</v>
      </c>
      <c r="C10" s="2097" t="s">
        <v>11</v>
      </c>
      <c r="D10" s="2098">
        <f t="shared" ref="D10:Y10" si="0">SUM(D11:D17)</f>
        <v>8597.7749999999996</v>
      </c>
      <c r="E10" s="2099">
        <f t="shared" si="0"/>
        <v>4841.5334999999995</v>
      </c>
      <c r="F10" s="2099">
        <f t="shared" si="0"/>
        <v>3545.0414999999994</v>
      </c>
      <c r="G10" s="2100">
        <f t="shared" si="0"/>
        <v>7788.4269199999999</v>
      </c>
      <c r="H10" s="2101">
        <f t="shared" si="0"/>
        <v>7243.2370356000001</v>
      </c>
      <c r="I10" s="2102">
        <f t="shared" si="0"/>
        <v>6111.8899999999994</v>
      </c>
      <c r="J10" s="2099">
        <f t="shared" si="0"/>
        <v>3810.5699999999997</v>
      </c>
      <c r="K10" s="2103">
        <f t="shared" si="0"/>
        <v>2301.3200000000002</v>
      </c>
      <c r="L10" s="2098">
        <f t="shared" si="0"/>
        <v>7569.1827022019988</v>
      </c>
      <c r="M10" s="2103">
        <f t="shared" si="0"/>
        <v>3359.9711939949993</v>
      </c>
      <c r="N10" s="2103">
        <f t="shared" si="0"/>
        <v>2613.4177280049998</v>
      </c>
      <c r="O10" s="2104">
        <f t="shared" si="0"/>
        <v>2083.1368000000002</v>
      </c>
      <c r="P10" s="2104">
        <f t="shared" si="0"/>
        <v>5641.2736000000004</v>
      </c>
      <c r="Q10" s="2098">
        <f t="shared" si="0"/>
        <v>5895.1309119999996</v>
      </c>
      <c r="R10" s="2105">
        <f t="shared" si="0"/>
        <v>0</v>
      </c>
      <c r="S10" s="2106">
        <f t="shared" si="0"/>
        <v>0</v>
      </c>
      <c r="T10" s="2098">
        <f t="shared" si="0"/>
        <v>6148.6215412159991</v>
      </c>
      <c r="U10" s="2105">
        <f t="shared" si="0"/>
        <v>0</v>
      </c>
      <c r="V10" s="2106">
        <f t="shared" si="0"/>
        <v>0</v>
      </c>
      <c r="W10" s="2098">
        <f t="shared" si="0"/>
        <v>6413.0122674882878</v>
      </c>
      <c r="X10" s="2105">
        <f t="shared" si="0"/>
        <v>0</v>
      </c>
      <c r="Y10" s="2100">
        <f t="shared" si="0"/>
        <v>0</v>
      </c>
      <c r="Z10" s="2098">
        <f>SUM(Z11:Z18)</f>
        <v>7139.5931185600002</v>
      </c>
      <c r="AA10" s="2098">
        <f>SUM(AA11:AA19)</f>
        <v>4465.7121257492799</v>
      </c>
      <c r="AB10" s="2098">
        <f>SUM(AB11:AB18)</f>
        <v>2427.4616603104005</v>
      </c>
    </row>
    <row r="11" spans="1:28">
      <c r="A11" s="2107" t="s">
        <v>18</v>
      </c>
      <c r="B11" s="2108" t="s">
        <v>67</v>
      </c>
      <c r="C11" s="2109" t="s">
        <v>11</v>
      </c>
      <c r="D11" s="2110">
        <f>737+1666.6</f>
        <v>2403.6</v>
      </c>
      <c r="E11" s="2111">
        <v>1340.0879999999997</v>
      </c>
      <c r="F11" s="2112">
        <v>1009.5119999999999</v>
      </c>
      <c r="G11" s="2113">
        <f>1372.2+644.99</f>
        <v>2017.19</v>
      </c>
      <c r="H11" s="2114">
        <f t="shared" ref="H11:H17" si="1">G11*0.93</f>
        <v>1875.9867000000002</v>
      </c>
      <c r="I11" s="2110">
        <f>J11+K11</f>
        <v>1361.72</v>
      </c>
      <c r="J11" s="2111">
        <v>849</v>
      </c>
      <c r="K11" s="2115">
        <v>512.72</v>
      </c>
      <c r="L11" s="2110">
        <f>H11*1.045</f>
        <v>1960.4061015</v>
      </c>
      <c r="M11" s="2116">
        <f>P11*0.59</f>
        <v>1039.1988718</v>
      </c>
      <c r="N11" s="2117">
        <f>P11*0.41</f>
        <v>722.15514819999999</v>
      </c>
      <c r="O11" s="2118">
        <f>('[9]Себ 1 полуг'!$IG$101+'[9]Себ 1 полуг'!$IG$102+'[9]Себ 1 полуг'!$IG$109)/1000</f>
        <v>880.67701</v>
      </c>
      <c r="P11" s="2119">
        <f>O11*2</f>
        <v>1761.35402</v>
      </c>
      <c r="Q11" s="2110">
        <f>P11*1.045</f>
        <v>1840.6149508999999</v>
      </c>
      <c r="R11" s="2111">
        <f t="shared" ref="R11:R17" si="2">Q11*$Q$62</f>
        <v>0</v>
      </c>
      <c r="S11" s="2846">
        <f t="shared" ref="S11:S17" si="3">Q11*$Q$63</f>
        <v>0</v>
      </c>
      <c r="T11" s="2110">
        <f>Q11*1.043</f>
        <v>1919.7613937886997</v>
      </c>
      <c r="U11" s="2120">
        <f t="shared" ref="U11:U17" si="4">T11*$U$62</f>
        <v>0</v>
      </c>
      <c r="V11" s="2121">
        <f t="shared" ref="V11:V17" si="5">T11*$U$63</f>
        <v>0</v>
      </c>
      <c r="W11" s="2110">
        <f>T11*1.043</f>
        <v>2002.3111337216137</v>
      </c>
      <c r="X11" s="2120">
        <f t="shared" ref="X11:X16" si="6">W11*$W$62</f>
        <v>0</v>
      </c>
      <c r="Y11" s="2121">
        <f t="shared" ref="Y11:Y17" si="7">W11*$W$63</f>
        <v>0</v>
      </c>
      <c r="Z11" s="2110">
        <f>Q11</f>
        <v>1840.6149508999999</v>
      </c>
      <c r="AA11" s="2120">
        <f t="shared" ref="AA11:AA19" si="8">Z11*$AA$62</f>
        <v>1036.2662173566998</v>
      </c>
      <c r="AB11" s="2121">
        <f>Z11*$AA$63</f>
        <v>625.80908330600005</v>
      </c>
    </row>
    <row r="12" spans="1:28">
      <c r="A12" s="2122" t="s">
        <v>30</v>
      </c>
      <c r="B12" s="2123" t="s">
        <v>69</v>
      </c>
      <c r="C12" s="2124" t="s">
        <v>11</v>
      </c>
      <c r="D12" s="2125">
        <v>2257.1999999999998</v>
      </c>
      <c r="E12" s="2126">
        <v>1218</v>
      </c>
      <c r="F12" s="2116">
        <v>882</v>
      </c>
      <c r="G12" s="2127">
        <f>'[8]Себ ГОД'!$CC$351</f>
        <v>751.80770999999993</v>
      </c>
      <c r="H12" s="2114">
        <f t="shared" si="1"/>
        <v>699.18117029999996</v>
      </c>
      <c r="I12" s="2110">
        <f>J12+K12</f>
        <v>1607.2</v>
      </c>
      <c r="J12" s="2111">
        <v>1002</v>
      </c>
      <c r="K12" s="2115">
        <v>605.20000000000005</v>
      </c>
      <c r="L12" s="2110">
        <f t="shared" ref="L12:L17" si="9">H12*1.045</f>
        <v>730.64432296349992</v>
      </c>
      <c r="M12" s="2116">
        <f t="shared" ref="M12:M15" si="10">P12*0.59</f>
        <v>253.78470039999996</v>
      </c>
      <c r="N12" s="2117">
        <f t="shared" ref="N12:N14" si="11">P12*0.41</f>
        <v>176.35885959999999</v>
      </c>
      <c r="O12" s="2118">
        <f>'[9]Себ 1 полуг'!$IG$165/1000</f>
        <v>215.07177999999999</v>
      </c>
      <c r="P12" s="2119">
        <f>O12*2</f>
        <v>430.14355999999998</v>
      </c>
      <c r="Q12" s="2110">
        <f t="shared" ref="Q12:Q17" si="12">P12*1.045</f>
        <v>449.50002019999994</v>
      </c>
      <c r="R12" s="2111">
        <f t="shared" si="2"/>
        <v>0</v>
      </c>
      <c r="S12" s="2846">
        <f t="shared" si="3"/>
        <v>0</v>
      </c>
      <c r="T12" s="2110">
        <f t="shared" ref="T12:T17" si="13">Q12*1.043</f>
        <v>468.82852106859991</v>
      </c>
      <c r="U12" s="2120">
        <f t="shared" si="4"/>
        <v>0</v>
      </c>
      <c r="V12" s="2121">
        <f t="shared" si="5"/>
        <v>0</v>
      </c>
      <c r="W12" s="2110">
        <f t="shared" ref="W12:W17" si="14">T12*1.043</f>
        <v>488.98814747454969</v>
      </c>
      <c r="X12" s="2120">
        <f t="shared" si="6"/>
        <v>0</v>
      </c>
      <c r="Y12" s="2121">
        <f t="shared" si="7"/>
        <v>0</v>
      </c>
      <c r="Z12" s="2110">
        <f>Q12</f>
        <v>449.50002019999994</v>
      </c>
      <c r="AA12" s="2120">
        <f t="shared" si="8"/>
        <v>253.06851137259994</v>
      </c>
      <c r="AB12" s="2121">
        <f t="shared" ref="AB12:AB19" si="15">Z12*$AA$63</f>
        <v>152.830006868</v>
      </c>
    </row>
    <row r="13" spans="1:28">
      <c r="A13" s="2128" t="s">
        <v>255</v>
      </c>
      <c r="B13" s="2123" t="s">
        <v>71</v>
      </c>
      <c r="C13" s="2124" t="s">
        <v>11</v>
      </c>
      <c r="D13" s="2125">
        <v>1200</v>
      </c>
      <c r="E13" s="2126">
        <v>696</v>
      </c>
      <c r="F13" s="2116">
        <v>504</v>
      </c>
      <c r="G13" s="2127">
        <f>'[8]Себ ГОД'!$CC$350</f>
        <v>1206.7796599999999</v>
      </c>
      <c r="H13" s="2114">
        <f t="shared" si="1"/>
        <v>1122.3050837999999</v>
      </c>
      <c r="I13" s="2110">
        <f>J13+K13</f>
        <v>1083.5999999999999</v>
      </c>
      <c r="J13" s="2111">
        <v>675.6</v>
      </c>
      <c r="K13" s="2115">
        <v>408</v>
      </c>
      <c r="L13" s="2110">
        <f t="shared" si="9"/>
        <v>1172.8088125709999</v>
      </c>
      <c r="M13" s="2116">
        <f t="shared" si="10"/>
        <v>870.25</v>
      </c>
      <c r="N13" s="2117">
        <f t="shared" si="11"/>
        <v>604.75</v>
      </c>
      <c r="O13" s="2118">
        <f>'[9]Себ 1 полуг'!$IG$164</f>
        <v>0</v>
      </c>
      <c r="P13" s="2119">
        <v>1475</v>
      </c>
      <c r="Q13" s="2110">
        <f t="shared" si="12"/>
        <v>1541.375</v>
      </c>
      <c r="R13" s="2111">
        <f t="shared" si="2"/>
        <v>0</v>
      </c>
      <c r="S13" s="2846">
        <f t="shared" si="3"/>
        <v>0</v>
      </c>
      <c r="T13" s="2110">
        <f t="shared" si="13"/>
        <v>1607.6541249999998</v>
      </c>
      <c r="U13" s="2120">
        <f t="shared" si="4"/>
        <v>0</v>
      </c>
      <c r="V13" s="2121">
        <f t="shared" si="5"/>
        <v>0</v>
      </c>
      <c r="W13" s="2110">
        <f t="shared" si="14"/>
        <v>1676.7832523749996</v>
      </c>
      <c r="X13" s="2120">
        <f t="shared" si="6"/>
        <v>0</v>
      </c>
      <c r="Y13" s="2121">
        <f t="shared" si="7"/>
        <v>0</v>
      </c>
      <c r="Z13" s="2110">
        <f>P13*1.026</f>
        <v>1513.3500000000001</v>
      </c>
      <c r="AA13" s="2120">
        <f t="shared" si="8"/>
        <v>852.01604999999995</v>
      </c>
      <c r="AB13" s="2121">
        <f t="shared" si="15"/>
        <v>514.5390000000001</v>
      </c>
    </row>
    <row r="14" spans="1:28">
      <c r="A14" s="2122" t="s">
        <v>40</v>
      </c>
      <c r="B14" s="2123" t="s">
        <v>73</v>
      </c>
      <c r="C14" s="2124" t="s">
        <v>11</v>
      </c>
      <c r="D14" s="2125">
        <v>651.97500000000002</v>
      </c>
      <c r="E14" s="2126">
        <v>378.14549999999997</v>
      </c>
      <c r="F14" s="2116">
        <v>273.8295</v>
      </c>
      <c r="G14" s="2127">
        <f>'[8]Себ ГОД'!$CC$358</f>
        <v>1568.5195499999998</v>
      </c>
      <c r="H14" s="2114">
        <f t="shared" si="1"/>
        <v>1458.7231814999998</v>
      </c>
      <c r="I14" s="2110"/>
      <c r="J14" s="2111">
        <f>I14*$Q$62</f>
        <v>0</v>
      </c>
      <c r="K14" s="2115">
        <f>I14*$Q$63</f>
        <v>0</v>
      </c>
      <c r="L14" s="2110">
        <f t="shared" si="9"/>
        <v>1524.3657246674998</v>
      </c>
      <c r="M14" s="2116">
        <f t="shared" si="10"/>
        <v>310.77321340000003</v>
      </c>
      <c r="N14" s="2117">
        <f t="shared" si="11"/>
        <v>215.9610466</v>
      </c>
      <c r="O14" s="2118">
        <f>'[9]Себ 1 полуг'!$IG$172/1000</f>
        <v>263.36713000000003</v>
      </c>
      <c r="P14" s="2119">
        <f>O14*2</f>
        <v>526.73426000000006</v>
      </c>
      <c r="Q14" s="2110">
        <f t="shared" si="12"/>
        <v>550.43730170000003</v>
      </c>
      <c r="R14" s="2111">
        <f t="shared" si="2"/>
        <v>0</v>
      </c>
      <c r="S14" s="2846">
        <f t="shared" si="3"/>
        <v>0</v>
      </c>
      <c r="T14" s="2110">
        <f t="shared" si="13"/>
        <v>574.10610567310005</v>
      </c>
      <c r="U14" s="2120">
        <f t="shared" si="4"/>
        <v>0</v>
      </c>
      <c r="V14" s="2121">
        <f t="shared" si="5"/>
        <v>0</v>
      </c>
      <c r="W14" s="2110">
        <f t="shared" si="14"/>
        <v>598.79266821704334</v>
      </c>
      <c r="X14" s="2120">
        <f t="shared" si="6"/>
        <v>0</v>
      </c>
      <c r="Y14" s="2121">
        <f t="shared" si="7"/>
        <v>0</v>
      </c>
      <c r="Z14" s="2110">
        <f>Q14</f>
        <v>550.43730170000003</v>
      </c>
      <c r="AA14" s="2120">
        <f t="shared" si="8"/>
        <v>309.89620085709998</v>
      </c>
      <c r="AB14" s="2121">
        <f t="shared" si="15"/>
        <v>187.14868257800003</v>
      </c>
    </row>
    <row r="15" spans="1:28" ht="38.25">
      <c r="A15" s="2128" t="s">
        <v>41</v>
      </c>
      <c r="B15" s="2123" t="s">
        <v>1398</v>
      </c>
      <c r="C15" s="2124" t="s">
        <v>11</v>
      </c>
      <c r="D15" s="2125">
        <v>620</v>
      </c>
      <c r="E15" s="2126">
        <v>359.59999999999997</v>
      </c>
      <c r="F15" s="2116">
        <v>260.39999999999998</v>
      </c>
      <c r="G15" s="2127">
        <f>699</f>
        <v>699</v>
      </c>
      <c r="H15" s="2114">
        <f t="shared" si="1"/>
        <v>650.07000000000005</v>
      </c>
      <c r="I15" s="2110">
        <f t="shared" ref="I15:I16" si="16">J15+K15</f>
        <v>663.71</v>
      </c>
      <c r="J15" s="2111">
        <v>413.81</v>
      </c>
      <c r="K15" s="2115">
        <v>249.9</v>
      </c>
      <c r="L15" s="2110">
        <f t="shared" si="9"/>
        <v>679.32315000000006</v>
      </c>
      <c r="M15" s="2116">
        <f t="shared" si="10"/>
        <v>0</v>
      </c>
      <c r="N15" s="2117">
        <f>L15*$M$63</f>
        <v>278.5224915</v>
      </c>
      <c r="O15" s="2116"/>
      <c r="P15" s="2119"/>
      <c r="Q15" s="2110">
        <f t="shared" si="12"/>
        <v>0</v>
      </c>
      <c r="R15" s="2111">
        <f t="shared" si="2"/>
        <v>0</v>
      </c>
      <c r="S15" s="2846">
        <f t="shared" si="3"/>
        <v>0</v>
      </c>
      <c r="T15" s="2110">
        <f t="shared" si="13"/>
        <v>0</v>
      </c>
      <c r="U15" s="2120">
        <f t="shared" si="4"/>
        <v>0</v>
      </c>
      <c r="V15" s="2121">
        <f t="shared" si="5"/>
        <v>0</v>
      </c>
      <c r="W15" s="2110">
        <f t="shared" si="14"/>
        <v>0</v>
      </c>
      <c r="X15" s="2120">
        <f t="shared" si="6"/>
        <v>0</v>
      </c>
      <c r="Y15" s="2121">
        <f t="shared" si="7"/>
        <v>0</v>
      </c>
      <c r="Z15" s="2110">
        <f t="shared" ref="Z15:Z17" si="17">W15*1.043</f>
        <v>0</v>
      </c>
      <c r="AA15" s="2120">
        <f t="shared" si="8"/>
        <v>0</v>
      </c>
      <c r="AB15" s="2121">
        <f t="shared" si="15"/>
        <v>0</v>
      </c>
    </row>
    <row r="16" spans="1:28" ht="18.75" customHeight="1">
      <c r="A16" s="2122" t="s">
        <v>42</v>
      </c>
      <c r="B16" s="2123" t="s">
        <v>77</v>
      </c>
      <c r="C16" s="2124" t="s">
        <v>11</v>
      </c>
      <c r="D16" s="2129">
        <v>1465</v>
      </c>
      <c r="E16" s="2130">
        <v>849.69999999999993</v>
      </c>
      <c r="F16" s="2131">
        <v>615.29999999999995</v>
      </c>
      <c r="G16" s="2132">
        <v>1545.13</v>
      </c>
      <c r="H16" s="2114">
        <f t="shared" si="1"/>
        <v>1436.9709000000003</v>
      </c>
      <c r="I16" s="2110">
        <f t="shared" si="16"/>
        <v>1395.6599999999999</v>
      </c>
      <c r="J16" s="2111">
        <v>870.16</v>
      </c>
      <c r="K16" s="2115">
        <v>525.5</v>
      </c>
      <c r="L16" s="2110">
        <f t="shared" si="9"/>
        <v>1501.6345905000001</v>
      </c>
      <c r="M16" s="2116">
        <f>L16*$M$62</f>
        <v>885.96440839499996</v>
      </c>
      <c r="N16" s="2117">
        <f>L16*$M$63</f>
        <v>615.67018210499998</v>
      </c>
      <c r="O16" s="2118">
        <f>('[9]Себ 1 полуг'!$IG$99+'[9]Себ 1 полуг'!$IG$103+'[9]Себ 1 полуг'!$IG$107)/1000</f>
        <v>724.02088000000003</v>
      </c>
      <c r="P16" s="2119">
        <f>O16*2</f>
        <v>1448.0417600000001</v>
      </c>
      <c r="Q16" s="2110">
        <f t="shared" si="12"/>
        <v>1513.2036392</v>
      </c>
      <c r="R16" s="2111">
        <f t="shared" si="2"/>
        <v>0</v>
      </c>
      <c r="S16" s="2846">
        <f t="shared" si="3"/>
        <v>0</v>
      </c>
      <c r="T16" s="2110">
        <f t="shared" si="13"/>
        <v>1578.2713956855998</v>
      </c>
      <c r="U16" s="2120">
        <f t="shared" si="4"/>
        <v>0</v>
      </c>
      <c r="V16" s="2121">
        <f t="shared" si="5"/>
        <v>0</v>
      </c>
      <c r="W16" s="2110">
        <f t="shared" si="14"/>
        <v>1646.1370657000805</v>
      </c>
      <c r="X16" s="2120">
        <f t="shared" si="6"/>
        <v>0</v>
      </c>
      <c r="Y16" s="2121">
        <f t="shared" si="7"/>
        <v>0</v>
      </c>
      <c r="Z16" s="2110">
        <f>P16*1.026</f>
        <v>1485.69084576</v>
      </c>
      <c r="AA16" s="2120">
        <f t="shared" si="8"/>
        <v>836.44394616287991</v>
      </c>
      <c r="AB16" s="2121">
        <f t="shared" si="15"/>
        <v>505.13488755840001</v>
      </c>
    </row>
    <row r="17" spans="1:31">
      <c r="A17" s="2133" t="s">
        <v>472</v>
      </c>
      <c r="B17" s="2123" t="s">
        <v>79</v>
      </c>
      <c r="C17" s="2860" t="s">
        <v>11</v>
      </c>
      <c r="D17" s="2160"/>
      <c r="E17" s="2126">
        <f t="shared" ref="E17" si="18">D17*$E$8</f>
        <v>0</v>
      </c>
      <c r="F17" s="2116">
        <f t="shared" ref="F17" si="19">D17*$F$8</f>
        <v>0</v>
      </c>
      <c r="G17" s="2160"/>
      <c r="H17" s="2116">
        <f t="shared" si="1"/>
        <v>0</v>
      </c>
      <c r="I17" s="2160">
        <v>0</v>
      </c>
      <c r="J17" s="2126">
        <f>I17*$Q$62</f>
        <v>0</v>
      </c>
      <c r="K17" s="2116">
        <f>I17*$Q$63</f>
        <v>0</v>
      </c>
      <c r="L17" s="2160">
        <f t="shared" si="9"/>
        <v>0</v>
      </c>
      <c r="M17" s="2116">
        <f>L17*$M$62</f>
        <v>0</v>
      </c>
      <c r="N17" s="2116">
        <f>L17*$M$63</f>
        <v>0</v>
      </c>
      <c r="O17" s="2118">
        <v>0</v>
      </c>
      <c r="P17" s="2116">
        <v>0</v>
      </c>
      <c r="Q17" s="2160">
        <f t="shared" si="12"/>
        <v>0</v>
      </c>
      <c r="R17" s="2126">
        <f t="shared" si="2"/>
        <v>0</v>
      </c>
      <c r="S17" s="2116">
        <f t="shared" si="3"/>
        <v>0</v>
      </c>
      <c r="T17" s="2160">
        <f t="shared" si="13"/>
        <v>0</v>
      </c>
      <c r="U17" s="2160">
        <f t="shared" si="4"/>
        <v>0</v>
      </c>
      <c r="V17" s="2160">
        <f t="shared" si="5"/>
        <v>0</v>
      </c>
      <c r="W17" s="2160">
        <f t="shared" si="14"/>
        <v>0</v>
      </c>
      <c r="X17" s="2160"/>
      <c r="Y17" s="2160">
        <f t="shared" si="7"/>
        <v>0</v>
      </c>
      <c r="Z17" s="2160">
        <f t="shared" si="17"/>
        <v>0</v>
      </c>
      <c r="AA17" s="2120">
        <f t="shared" si="8"/>
        <v>0</v>
      </c>
      <c r="AB17" s="2121">
        <f t="shared" si="15"/>
        <v>0</v>
      </c>
    </row>
    <row r="18" spans="1:31">
      <c r="A18" s="2133" t="s">
        <v>561</v>
      </c>
      <c r="B18" s="2134" t="s">
        <v>1717</v>
      </c>
      <c r="C18" s="2860" t="s">
        <v>11</v>
      </c>
      <c r="D18" s="2160">
        <v>3213.4</v>
      </c>
      <c r="E18" s="2126"/>
      <c r="F18" s="2116"/>
      <c r="G18" s="2160">
        <v>1411</v>
      </c>
      <c r="H18" s="2116"/>
      <c r="I18" s="2160"/>
      <c r="J18" s="2126"/>
      <c r="K18" s="2116"/>
      <c r="L18" s="2160"/>
      <c r="M18" s="2116"/>
      <c r="N18" s="2116"/>
      <c r="O18" s="2118">
        <v>570</v>
      </c>
      <c r="P18" s="2116"/>
      <c r="Q18" s="2160">
        <v>1320</v>
      </c>
      <c r="R18" s="2126"/>
      <c r="S18" s="2116"/>
      <c r="T18" s="2160"/>
      <c r="U18" s="2160"/>
      <c r="V18" s="2160"/>
      <c r="W18" s="2160"/>
      <c r="X18" s="2160"/>
      <c r="Y18" s="2160"/>
      <c r="Z18" s="2160">
        <v>1300</v>
      </c>
      <c r="AA18" s="2160">
        <f t="shared" si="8"/>
        <v>731.9</v>
      </c>
      <c r="AB18" s="2121">
        <f t="shared" si="15"/>
        <v>442.00000000000006</v>
      </c>
    </row>
    <row r="19" spans="1:31" ht="15.75" thickBot="1">
      <c r="A19" s="2133" t="s">
        <v>567</v>
      </c>
      <c r="B19" s="2123" t="s">
        <v>1724</v>
      </c>
      <c r="C19" s="2860" t="s">
        <v>11</v>
      </c>
      <c r="D19" s="2866">
        <v>718.4</v>
      </c>
      <c r="E19" s="2858"/>
      <c r="F19" s="2859"/>
      <c r="G19" s="2870"/>
      <c r="H19" s="2873"/>
      <c r="I19" s="2874"/>
      <c r="J19" s="2872"/>
      <c r="K19" s="2871"/>
      <c r="L19" s="2870"/>
      <c r="M19" s="2877"/>
      <c r="N19" s="2871"/>
      <c r="O19" s="2875"/>
      <c r="P19" s="2871"/>
      <c r="Q19" s="2874"/>
      <c r="R19" s="2876"/>
      <c r="S19" s="2877"/>
      <c r="T19" s="2869"/>
      <c r="U19" s="2869"/>
      <c r="V19" s="2869"/>
      <c r="W19" s="2869"/>
      <c r="X19" s="2869"/>
      <c r="Y19" s="2869"/>
      <c r="Z19" s="2868">
        <v>792.4</v>
      </c>
      <c r="AA19" s="2160">
        <f t="shared" si="8"/>
        <v>446.12119999999993</v>
      </c>
      <c r="AB19" s="2121">
        <f t="shared" si="15"/>
        <v>269.416</v>
      </c>
    </row>
    <row r="20" spans="1:31" ht="55.5" customHeight="1" thickBot="1">
      <c r="A20" s="2861" t="s">
        <v>50</v>
      </c>
      <c r="B20" s="2867" t="s">
        <v>81</v>
      </c>
      <c r="C20" s="2141" t="s">
        <v>11</v>
      </c>
      <c r="D20" s="2142">
        <f>D21+D40</f>
        <v>8716.6816799999997</v>
      </c>
      <c r="E20" s="2142">
        <f t="shared" ref="E20:F20" si="20">E21+E40</f>
        <v>9976.6200000000008</v>
      </c>
      <c r="F20" s="2142">
        <f t="shared" si="20"/>
        <v>4358.3408399999998</v>
      </c>
      <c r="G20" s="2143">
        <f>G21+G40</f>
        <v>53895.683176859995</v>
      </c>
      <c r="H20" s="2144">
        <v>48033.071519999998</v>
      </c>
      <c r="I20" s="2145">
        <f>I21+I39</f>
        <v>47906.35</v>
      </c>
      <c r="J20" s="2145">
        <f t="shared" ref="J20:K20" si="21">J21+J39</f>
        <v>29868.17</v>
      </c>
      <c r="K20" s="2146">
        <f t="shared" si="21"/>
        <v>18038.18</v>
      </c>
      <c r="L20" s="2144">
        <f>L21+L40</f>
        <v>53342.94</v>
      </c>
      <c r="M20" s="2142">
        <f t="shared" ref="M20:Y20" si="22">M21+M40</f>
        <v>31472.334599999998</v>
      </c>
      <c r="N20" s="2147">
        <f t="shared" si="22"/>
        <v>21870.6054</v>
      </c>
      <c r="O20" s="2147">
        <f t="shared" si="22"/>
        <v>11763.341499</v>
      </c>
      <c r="P20" s="2147">
        <f t="shared" si="22"/>
        <v>24588.16222695</v>
      </c>
      <c r="Q20" s="2144">
        <f t="shared" si="22"/>
        <v>53949.879799525501</v>
      </c>
      <c r="R20" s="2144">
        <f t="shared" si="22"/>
        <v>26974.93989976275</v>
      </c>
      <c r="S20" s="2144">
        <f t="shared" si="22"/>
        <v>26974.93989976275</v>
      </c>
      <c r="T20" s="2144">
        <f t="shared" si="22"/>
        <v>56460.174611899092</v>
      </c>
      <c r="U20" s="2144">
        <f t="shared" si="22"/>
        <v>28230.087305949546</v>
      </c>
      <c r="V20" s="2144">
        <f t="shared" si="22"/>
        <v>28230.087305949546</v>
      </c>
      <c r="W20" s="2144">
        <f t="shared" si="22"/>
        <v>58887.962120210759</v>
      </c>
      <c r="X20" s="2144">
        <f t="shared" si="22"/>
        <v>29443.98106010538</v>
      </c>
      <c r="Y20" s="2144">
        <f t="shared" si="22"/>
        <v>29443.98106010538</v>
      </c>
      <c r="Z20" s="2144">
        <f>Z22+Z40</f>
        <v>55387.840933797117</v>
      </c>
      <c r="AA20" s="2144">
        <f t="shared" ref="AA20" si="23">AA21+AA40</f>
        <v>31183.354445727775</v>
      </c>
      <c r="AB20" s="2144">
        <f>AB21+AB40</f>
        <v>18831.865917491021</v>
      </c>
    </row>
    <row r="21" spans="1:31" ht="42.75" hidden="1" customHeight="1">
      <c r="A21" s="2149" t="s">
        <v>52</v>
      </c>
      <c r="B21" s="2150" t="s">
        <v>83</v>
      </c>
      <c r="C21" s="2151" t="s">
        <v>11</v>
      </c>
      <c r="D21" s="2152">
        <v>6694.84</v>
      </c>
      <c r="E21" s="2153">
        <f>E22</f>
        <v>8338.34</v>
      </c>
      <c r="F21" s="2153">
        <v>3347.42</v>
      </c>
      <c r="G21" s="2154">
        <f>D76/1000</f>
        <v>41394.533929999998</v>
      </c>
      <c r="H21" s="2155">
        <v>36891.760000000002</v>
      </c>
      <c r="I21" s="2110">
        <f>J21+K21</f>
        <v>47906.35</v>
      </c>
      <c r="J21" s="2115">
        <f>J22+J40</f>
        <v>29868.17</v>
      </c>
      <c r="K21" s="2115">
        <f>K22+K40</f>
        <v>18038.18</v>
      </c>
      <c r="L21" s="2152">
        <f t="shared" ref="L21:Q21" si="24">L22</f>
        <v>40970</v>
      </c>
      <c r="M21" s="2112">
        <f t="shared" si="24"/>
        <v>24172.3</v>
      </c>
      <c r="N21" s="2115">
        <f t="shared" si="24"/>
        <v>16797.7</v>
      </c>
      <c r="O21" s="2112">
        <f>'Зар.плата осн.персонала'!H97/2/1000</f>
        <v>9034.8245000000006</v>
      </c>
      <c r="P21" s="2112">
        <f t="shared" si="24"/>
        <v>18884.917225000001</v>
      </c>
      <c r="Q21" s="2152">
        <f t="shared" si="24"/>
        <v>41436.159600250001</v>
      </c>
      <c r="R21" s="2156">
        <f t="shared" ref="R21:AB21" si="25">R22</f>
        <v>20718.079800125</v>
      </c>
      <c r="S21" s="2157">
        <f t="shared" si="25"/>
        <v>20718.079800125</v>
      </c>
      <c r="T21" s="2152">
        <f t="shared" si="25"/>
        <v>43364.189410060746</v>
      </c>
      <c r="U21" s="2156">
        <f t="shared" si="25"/>
        <v>21682.094705030373</v>
      </c>
      <c r="V21" s="2157">
        <f t="shared" si="25"/>
        <v>21682.094705030373</v>
      </c>
      <c r="W21" s="2152">
        <f t="shared" si="25"/>
        <v>45228.849554693363</v>
      </c>
      <c r="X21" s="2156">
        <f t="shared" si="25"/>
        <v>22614.424777346681</v>
      </c>
      <c r="Y21" s="2157">
        <f t="shared" si="25"/>
        <v>22614.424777346681</v>
      </c>
      <c r="Z21" s="2152">
        <f t="shared" si="25"/>
        <v>42540.584434559998</v>
      </c>
      <c r="AA21" s="2156">
        <f t="shared" si="25"/>
        <v>23950.349036657277</v>
      </c>
      <c r="AB21" s="2157">
        <f t="shared" si="25"/>
        <v>14463.7987077504</v>
      </c>
    </row>
    <row r="22" spans="1:31" ht="59.25" customHeight="1">
      <c r="A22" s="3524" t="s">
        <v>473</v>
      </c>
      <c r="B22" s="2158" t="s">
        <v>1399</v>
      </c>
      <c r="C22" s="2159" t="s">
        <v>32</v>
      </c>
      <c r="D22" s="2125">
        <f>E22+F22</f>
        <v>15033.18</v>
      </c>
      <c r="E22" s="2126">
        <v>8338.34</v>
      </c>
      <c r="F22" s="2116">
        <v>6694.84</v>
      </c>
      <c r="G22" s="2160">
        <f>G21</f>
        <v>41394.533929999998</v>
      </c>
      <c r="H22" s="2161">
        <v>36891.760000000002</v>
      </c>
      <c r="I22" s="2125">
        <v>36794.21</v>
      </c>
      <c r="J22" s="2115">
        <v>22940</v>
      </c>
      <c r="K22" s="2117">
        <v>13854.21</v>
      </c>
      <c r="L22" s="2125">
        <f>M22+N22</f>
        <v>40970</v>
      </c>
      <c r="M22" s="2116">
        <v>24172.3</v>
      </c>
      <c r="N22" s="2117">
        <v>16797.7</v>
      </c>
      <c r="O22" s="2116">
        <f>'Зар.плата осн.персонала'!H97/2/1000</f>
        <v>9034.8245000000006</v>
      </c>
      <c r="P22" s="2116">
        <f>'Зар.плата осн.персонала'!I97/1000/2</f>
        <v>18884.917225000001</v>
      </c>
      <c r="Q22" s="2125">
        <f>'Зар.плата осн.персонала'!J97/1000</f>
        <v>41436.159600250001</v>
      </c>
      <c r="R22" s="2126">
        <f>Q22/2</f>
        <v>20718.079800125</v>
      </c>
      <c r="S22" s="2847">
        <f>Q22/2</f>
        <v>20718.079800125</v>
      </c>
      <c r="T22" s="2125">
        <f>'Зар.плата осн.персонала'!K97/1000</f>
        <v>43364.189410060746</v>
      </c>
      <c r="U22" s="2120">
        <f>T22/2</f>
        <v>21682.094705030373</v>
      </c>
      <c r="V22" s="2121">
        <f>T22/2</f>
        <v>21682.094705030373</v>
      </c>
      <c r="W22" s="2125">
        <f>'Зар.плата осн.персонала'!L97/1000</f>
        <v>45228.849554693363</v>
      </c>
      <c r="X22" s="2160">
        <f>W22/2</f>
        <v>22614.424777346681</v>
      </c>
      <c r="Y22" s="2163">
        <f>W22/2</f>
        <v>22614.424777346681</v>
      </c>
      <c r="Z22" s="3085">
        <f>Z24*Z23*12/1000</f>
        <v>42540.584434559998</v>
      </c>
      <c r="AA22" s="2120">
        <f>Z22*$AA$62</f>
        <v>23950.349036657277</v>
      </c>
      <c r="AB22" s="2163">
        <f>Z22*$AA$63</f>
        <v>14463.7987077504</v>
      </c>
      <c r="AD22" s="3086"/>
      <c r="AE22" s="3087">
        <f>23950.35-22189.29</f>
        <v>1761.0599999999977</v>
      </c>
    </row>
    <row r="23" spans="1:31">
      <c r="A23" s="3524"/>
      <c r="B23" s="2164" t="s">
        <v>457</v>
      </c>
      <c r="C23" s="2159" t="s">
        <v>407</v>
      </c>
      <c r="D23" s="2125">
        <v>68</v>
      </c>
      <c r="E23" s="2126">
        <v>34</v>
      </c>
      <c r="F23" s="2116">
        <v>34</v>
      </c>
      <c r="G23" s="2160">
        <f>'Зар.плата осн.персонала'!E71</f>
        <v>60</v>
      </c>
      <c r="H23" s="2161">
        <v>60</v>
      </c>
      <c r="I23" s="2125">
        <v>68</v>
      </c>
      <c r="J23" s="2126">
        <v>38</v>
      </c>
      <c r="K23" s="2117">
        <v>30</v>
      </c>
      <c r="L23" s="2125">
        <v>63</v>
      </c>
      <c r="M23" s="2116">
        <v>38</v>
      </c>
      <c r="N23" s="2117">
        <v>25</v>
      </c>
      <c r="O23" s="2118">
        <v>60</v>
      </c>
      <c r="P23" s="2162">
        <v>61</v>
      </c>
      <c r="Q23" s="2125">
        <v>63</v>
      </c>
      <c r="R23" s="2126">
        <v>31.5</v>
      </c>
      <c r="S23" s="2116">
        <f>Q23/2</f>
        <v>31.5</v>
      </c>
      <c r="T23" s="2125">
        <v>63</v>
      </c>
      <c r="U23" s="2160">
        <f>T23/2</f>
        <v>31.5</v>
      </c>
      <c r="V23" s="2160">
        <v>31.5</v>
      </c>
      <c r="W23" s="2125">
        <v>63</v>
      </c>
      <c r="X23" s="2160">
        <v>31.5</v>
      </c>
      <c r="Y23" s="2163">
        <v>31.5</v>
      </c>
      <c r="Z23" s="2125">
        <v>68</v>
      </c>
      <c r="AA23" s="2160"/>
      <c r="AB23" s="2163"/>
    </row>
    <row r="24" spans="1:31" ht="15.75" thickBot="1">
      <c r="A24" s="3524"/>
      <c r="B24" s="2164" t="s">
        <v>290</v>
      </c>
      <c r="C24" s="2159" t="s">
        <v>291</v>
      </c>
      <c r="D24" s="2125">
        <v>8204.4607843137255</v>
      </c>
      <c r="E24" s="2126">
        <v>1683.28</v>
      </c>
      <c r="F24" s="2126">
        <v>2021.84</v>
      </c>
      <c r="G24" s="2126">
        <v>51238</v>
      </c>
      <c r="H24" s="2165">
        <v>51238</v>
      </c>
      <c r="I24" s="2125">
        <v>49935.89</v>
      </c>
      <c r="J24" s="2125">
        <f>I24</f>
        <v>49935.89</v>
      </c>
      <c r="K24" s="2166">
        <f>I24</f>
        <v>49935.89</v>
      </c>
      <c r="L24" s="2125">
        <v>54193</v>
      </c>
      <c r="M24" s="2116">
        <f>L24</f>
        <v>54193</v>
      </c>
      <c r="N24" s="2117">
        <f>M24</f>
        <v>54193</v>
      </c>
      <c r="O24" s="2116">
        <f>'Зар.плата осн.персонала'!H91</f>
        <v>49438.35</v>
      </c>
      <c r="P24" s="2162">
        <f>'Зар.плата осн.персонала'!I91</f>
        <v>50610</v>
      </c>
      <c r="Q24" s="2125">
        <f>'Зар.плата осн.персонала'!J91</f>
        <v>53809.915343915338</v>
      </c>
      <c r="R24" s="2126">
        <f>Q24</f>
        <v>53809.915343915338</v>
      </c>
      <c r="S24" s="2847">
        <f>Q24</f>
        <v>53809.915343915338</v>
      </c>
      <c r="T24" s="2125">
        <f>'Зар.плата осн.персонала'!K91</f>
        <v>56317.227083333331</v>
      </c>
      <c r="U24" s="2125">
        <f>T24</f>
        <v>56317.227083333331</v>
      </c>
      <c r="V24" s="2125">
        <f>T24</f>
        <v>56317.227083333331</v>
      </c>
      <c r="W24" s="2125">
        <f>'Зар.плата осн.персонала'!L91</f>
        <v>58738.867847916663</v>
      </c>
      <c r="X24" s="2125">
        <f>W24</f>
        <v>58738.867847916663</v>
      </c>
      <c r="Y24" s="2125">
        <f>X24</f>
        <v>58738.867847916663</v>
      </c>
      <c r="Z24" s="2125">
        <f>49935.89*1.044</f>
        <v>52133.069159999999</v>
      </c>
      <c r="AA24" s="2125"/>
      <c r="AB24" s="2163"/>
    </row>
    <row r="25" spans="1:31" ht="15.75" hidden="1" thickBot="1">
      <c r="A25" s="3524"/>
      <c r="B25" s="2167"/>
      <c r="C25" s="2159" t="s">
        <v>32</v>
      </c>
      <c r="D25" s="2125">
        <f t="shared" ref="D25:I25" si="26">(D26*D27*12)/1000</f>
        <v>0</v>
      </c>
      <c r="E25" s="2126">
        <f>D25*$E$8</f>
        <v>0</v>
      </c>
      <c r="F25" s="2116"/>
      <c r="G25" s="2160">
        <f t="shared" si="26"/>
        <v>0</v>
      </c>
      <c r="H25" s="2161">
        <v>0</v>
      </c>
      <c r="I25" s="2125">
        <f t="shared" si="26"/>
        <v>0</v>
      </c>
      <c r="J25" s="2126"/>
      <c r="K25" s="2117"/>
      <c r="L25" s="2125"/>
      <c r="M25" s="2116"/>
      <c r="N25" s="2117"/>
      <c r="O25" s="2116"/>
      <c r="P25" s="2162"/>
      <c r="Q25" s="2125">
        <f t="shared" ref="Q25" si="27">(Q26*Q27*12)/1000</f>
        <v>0</v>
      </c>
      <c r="R25" s="2160"/>
      <c r="S25" s="2847"/>
      <c r="T25" s="2125"/>
      <c r="U25" s="2160"/>
      <c r="V25" s="2163"/>
      <c r="W25" s="2125">
        <f t="shared" ref="W25:Y25" si="28">(W26*W27*12)/1000</f>
        <v>0</v>
      </c>
      <c r="X25" s="2160">
        <f t="shared" si="28"/>
        <v>0</v>
      </c>
      <c r="Y25" s="2163">
        <f t="shared" si="28"/>
        <v>0</v>
      </c>
      <c r="Z25" s="2125">
        <f t="shared" ref="Z25:AB25" si="29">(Z26*Z27*12)/1000</f>
        <v>0</v>
      </c>
      <c r="AA25" s="2160">
        <f t="shared" si="29"/>
        <v>0</v>
      </c>
      <c r="AB25" s="2163">
        <f t="shared" si="29"/>
        <v>0</v>
      </c>
    </row>
    <row r="26" spans="1:31" ht="15.75" hidden="1" thickBot="1">
      <c r="A26" s="3524"/>
      <c r="B26" s="2123" t="s">
        <v>457</v>
      </c>
      <c r="C26" s="2159" t="s">
        <v>407</v>
      </c>
      <c r="D26" s="2125"/>
      <c r="E26" s="2126"/>
      <c r="F26" s="2116"/>
      <c r="G26" s="2160"/>
      <c r="H26" s="2161"/>
      <c r="I26" s="2125"/>
      <c r="J26" s="2126"/>
      <c r="K26" s="2117"/>
      <c r="L26" s="2125"/>
      <c r="M26" s="2116"/>
      <c r="N26" s="2117"/>
      <c r="O26" s="2116"/>
      <c r="P26" s="2162"/>
      <c r="Q26" s="2125"/>
      <c r="R26" s="2160"/>
      <c r="S26" s="2847"/>
      <c r="T26" s="2125"/>
      <c r="U26" s="2160"/>
      <c r="V26" s="2163"/>
      <c r="W26" s="2125"/>
      <c r="X26" s="2160"/>
      <c r="Y26" s="2163"/>
      <c r="Z26" s="2125"/>
      <c r="AA26" s="2160"/>
      <c r="AB26" s="2163"/>
    </row>
    <row r="27" spans="1:31" ht="15.75" hidden="1" thickBot="1">
      <c r="A27" s="3524"/>
      <c r="B27" s="2123" t="s">
        <v>290</v>
      </c>
      <c r="C27" s="2159" t="s">
        <v>291</v>
      </c>
      <c r="D27" s="2125"/>
      <c r="E27" s="2126"/>
      <c r="F27" s="2116"/>
      <c r="G27" s="2160"/>
      <c r="H27" s="2161"/>
      <c r="I27" s="2125"/>
      <c r="J27" s="2126"/>
      <c r="K27" s="2117"/>
      <c r="L27" s="2125"/>
      <c r="M27" s="2116"/>
      <c r="N27" s="2117"/>
      <c r="O27" s="2116"/>
      <c r="P27" s="2162"/>
      <c r="Q27" s="2125"/>
      <c r="R27" s="2160"/>
      <c r="S27" s="2847"/>
      <c r="T27" s="2125"/>
      <c r="U27" s="2160"/>
      <c r="V27" s="2163"/>
      <c r="W27" s="2125"/>
      <c r="X27" s="2160"/>
      <c r="Y27" s="2163"/>
      <c r="Z27" s="2125"/>
      <c r="AA27" s="2160"/>
      <c r="AB27" s="2163"/>
    </row>
    <row r="28" spans="1:31" ht="15.75" hidden="1" thickBot="1">
      <c r="A28" s="3524"/>
      <c r="B28" s="2167"/>
      <c r="C28" s="2159" t="s">
        <v>32</v>
      </c>
      <c r="D28" s="2125">
        <f t="shared" ref="D28:I28" si="30">(D29*D30*12)/1000</f>
        <v>0</v>
      </c>
      <c r="E28" s="2126"/>
      <c r="F28" s="2116"/>
      <c r="G28" s="2160">
        <f t="shared" si="30"/>
        <v>0</v>
      </c>
      <c r="H28" s="2161">
        <v>0</v>
      </c>
      <c r="I28" s="2125">
        <f t="shared" si="30"/>
        <v>0</v>
      </c>
      <c r="J28" s="2126"/>
      <c r="K28" s="2117"/>
      <c r="L28" s="2125"/>
      <c r="M28" s="2116"/>
      <c r="N28" s="2117"/>
      <c r="O28" s="2116"/>
      <c r="P28" s="2162"/>
      <c r="Q28" s="2125">
        <f t="shared" ref="Q28" si="31">(Q29*Q30*12)/1000</f>
        <v>0</v>
      </c>
      <c r="R28" s="2160"/>
      <c r="S28" s="2847"/>
      <c r="T28" s="2125"/>
      <c r="U28" s="2160"/>
      <c r="V28" s="2163"/>
      <c r="W28" s="2125">
        <f t="shared" ref="W28:Y28" si="32">(W29*W30*12)/1000</f>
        <v>0</v>
      </c>
      <c r="X28" s="2160">
        <f t="shared" si="32"/>
        <v>0</v>
      </c>
      <c r="Y28" s="2163">
        <f t="shared" si="32"/>
        <v>0</v>
      </c>
      <c r="Z28" s="2125">
        <f t="shared" ref="Z28:AB28" si="33">(Z29*Z30*12)/1000</f>
        <v>0</v>
      </c>
      <c r="AA28" s="2160">
        <f t="shared" si="33"/>
        <v>0</v>
      </c>
      <c r="AB28" s="2163">
        <f t="shared" si="33"/>
        <v>0</v>
      </c>
    </row>
    <row r="29" spans="1:31" ht="15.75" hidden="1" thickBot="1">
      <c r="A29" s="3524"/>
      <c r="B29" s="2123" t="s">
        <v>457</v>
      </c>
      <c r="C29" s="2159" t="s">
        <v>407</v>
      </c>
      <c r="D29" s="2125"/>
      <c r="E29" s="2126"/>
      <c r="F29" s="2116"/>
      <c r="G29" s="2160"/>
      <c r="H29" s="2161"/>
      <c r="I29" s="2125"/>
      <c r="J29" s="2126"/>
      <c r="K29" s="2117"/>
      <c r="L29" s="2125"/>
      <c r="M29" s="2116"/>
      <c r="N29" s="2117"/>
      <c r="O29" s="2116"/>
      <c r="P29" s="2162"/>
      <c r="Q29" s="2125"/>
      <c r="R29" s="2160"/>
      <c r="S29" s="2847"/>
      <c r="T29" s="2125"/>
      <c r="U29" s="2160"/>
      <c r="V29" s="2163"/>
      <c r="W29" s="2125"/>
      <c r="X29" s="2160"/>
      <c r="Y29" s="2163"/>
      <c r="Z29" s="2125"/>
      <c r="AA29" s="2160"/>
      <c r="AB29" s="2163"/>
    </row>
    <row r="30" spans="1:31" ht="15.75" hidden="1" thickBot="1">
      <c r="A30" s="3524"/>
      <c r="B30" s="2123" t="s">
        <v>290</v>
      </c>
      <c r="C30" s="2159" t="s">
        <v>291</v>
      </c>
      <c r="D30" s="2125"/>
      <c r="E30" s="2126"/>
      <c r="F30" s="2116"/>
      <c r="G30" s="2160"/>
      <c r="H30" s="2161"/>
      <c r="I30" s="2125"/>
      <c r="J30" s="2126"/>
      <c r="K30" s="2117"/>
      <c r="L30" s="2125"/>
      <c r="M30" s="2116"/>
      <c r="N30" s="2117"/>
      <c r="O30" s="2116"/>
      <c r="P30" s="2162"/>
      <c r="Q30" s="2125"/>
      <c r="R30" s="2160"/>
      <c r="S30" s="2847"/>
      <c r="T30" s="2125"/>
      <c r="U30" s="2160"/>
      <c r="V30" s="2163"/>
      <c r="W30" s="2125"/>
      <c r="X30" s="2160"/>
      <c r="Y30" s="2163"/>
      <c r="Z30" s="2125"/>
      <c r="AA30" s="2160"/>
      <c r="AB30" s="2163"/>
    </row>
    <row r="31" spans="1:31" ht="15.75" hidden="1" thickBot="1">
      <c r="A31" s="3524"/>
      <c r="B31" s="2167"/>
      <c r="C31" s="2159" t="s">
        <v>32</v>
      </c>
      <c r="D31" s="2125">
        <f t="shared" ref="D31:I31" si="34">(D32*D33*12)/1000</f>
        <v>0</v>
      </c>
      <c r="E31" s="2126"/>
      <c r="F31" s="2116"/>
      <c r="G31" s="2160">
        <f t="shared" si="34"/>
        <v>0</v>
      </c>
      <c r="H31" s="2161">
        <v>0</v>
      </c>
      <c r="I31" s="2125">
        <f t="shared" si="34"/>
        <v>0</v>
      </c>
      <c r="J31" s="2126"/>
      <c r="K31" s="2117"/>
      <c r="L31" s="2125"/>
      <c r="M31" s="2116"/>
      <c r="N31" s="2117"/>
      <c r="O31" s="2116"/>
      <c r="P31" s="2162"/>
      <c r="Q31" s="2125">
        <f t="shared" ref="Q31" si="35">(Q32*Q33*12)/1000</f>
        <v>0</v>
      </c>
      <c r="R31" s="2160"/>
      <c r="S31" s="2847"/>
      <c r="T31" s="2125"/>
      <c r="U31" s="2160"/>
      <c r="V31" s="2163"/>
      <c r="W31" s="2125">
        <f t="shared" ref="W31:Y31" si="36">(W32*W33*12)/1000</f>
        <v>0</v>
      </c>
      <c r="X31" s="2160">
        <f t="shared" si="36"/>
        <v>0</v>
      </c>
      <c r="Y31" s="2163">
        <f t="shared" si="36"/>
        <v>0</v>
      </c>
      <c r="Z31" s="2125">
        <f t="shared" ref="Z31:AB31" si="37">(Z32*Z33*12)/1000</f>
        <v>0</v>
      </c>
      <c r="AA31" s="2160">
        <f t="shared" si="37"/>
        <v>0</v>
      </c>
      <c r="AB31" s="2163">
        <f t="shared" si="37"/>
        <v>0</v>
      </c>
    </row>
    <row r="32" spans="1:31" ht="15.75" hidden="1" thickBot="1">
      <c r="A32" s="3524"/>
      <c r="B32" s="2123" t="s">
        <v>457</v>
      </c>
      <c r="C32" s="2159" t="s">
        <v>407</v>
      </c>
      <c r="D32" s="2125"/>
      <c r="E32" s="2126"/>
      <c r="F32" s="2116"/>
      <c r="G32" s="2160"/>
      <c r="H32" s="2161"/>
      <c r="I32" s="2125"/>
      <c r="J32" s="2126"/>
      <c r="K32" s="2117"/>
      <c r="L32" s="2125"/>
      <c r="M32" s="2116"/>
      <c r="N32" s="2117"/>
      <c r="O32" s="2116"/>
      <c r="P32" s="2162"/>
      <c r="Q32" s="2125"/>
      <c r="R32" s="2160"/>
      <c r="S32" s="2847"/>
      <c r="T32" s="2125"/>
      <c r="U32" s="2160"/>
      <c r="V32" s="2163"/>
      <c r="W32" s="2125"/>
      <c r="X32" s="2160"/>
      <c r="Y32" s="2163"/>
      <c r="Z32" s="2125"/>
      <c r="AA32" s="2160"/>
      <c r="AB32" s="2163"/>
    </row>
    <row r="33" spans="1:28" ht="15.75" hidden="1" thickBot="1">
      <c r="A33" s="3524"/>
      <c r="B33" s="2123" t="s">
        <v>290</v>
      </c>
      <c r="C33" s="2159" t="s">
        <v>291</v>
      </c>
      <c r="D33" s="2125"/>
      <c r="E33" s="2126"/>
      <c r="F33" s="2116"/>
      <c r="G33" s="2160"/>
      <c r="H33" s="2161"/>
      <c r="I33" s="2125"/>
      <c r="J33" s="2126"/>
      <c r="K33" s="2117"/>
      <c r="L33" s="2125"/>
      <c r="M33" s="2116"/>
      <c r="N33" s="2117"/>
      <c r="O33" s="2116"/>
      <c r="P33" s="2162"/>
      <c r="Q33" s="2125"/>
      <c r="R33" s="2160"/>
      <c r="S33" s="2847"/>
      <c r="T33" s="2125"/>
      <c r="U33" s="2160"/>
      <c r="V33" s="2163"/>
      <c r="W33" s="2125"/>
      <c r="X33" s="2160"/>
      <c r="Y33" s="2163"/>
      <c r="Z33" s="2125"/>
      <c r="AA33" s="2160"/>
      <c r="AB33" s="2163"/>
    </row>
    <row r="34" spans="1:28" ht="15.75" hidden="1" thickBot="1">
      <c r="A34" s="3524"/>
      <c r="B34" s="2167"/>
      <c r="C34" s="2159" t="s">
        <v>32</v>
      </c>
      <c r="D34" s="2125">
        <f t="shared" ref="D34:I34" si="38">(D35*D36*12)/1000</f>
        <v>0</v>
      </c>
      <c r="E34" s="2126"/>
      <c r="F34" s="2116"/>
      <c r="G34" s="2160">
        <f t="shared" si="38"/>
        <v>0</v>
      </c>
      <c r="H34" s="2161">
        <v>0</v>
      </c>
      <c r="I34" s="2125">
        <f t="shared" si="38"/>
        <v>0</v>
      </c>
      <c r="J34" s="2126"/>
      <c r="K34" s="2117"/>
      <c r="L34" s="2125"/>
      <c r="M34" s="2116"/>
      <c r="N34" s="2117"/>
      <c r="O34" s="2116"/>
      <c r="P34" s="2162"/>
      <c r="Q34" s="2125">
        <f t="shared" ref="Q34" si="39">(Q35*Q36*12)/1000</f>
        <v>0</v>
      </c>
      <c r="R34" s="2160"/>
      <c r="S34" s="2847"/>
      <c r="T34" s="2125"/>
      <c r="U34" s="2160"/>
      <c r="V34" s="2163"/>
      <c r="W34" s="2125">
        <f t="shared" ref="W34:Y34" si="40">(W35*W36*12)/1000</f>
        <v>0</v>
      </c>
      <c r="X34" s="2160">
        <f t="shared" si="40"/>
        <v>0</v>
      </c>
      <c r="Y34" s="2163">
        <f t="shared" si="40"/>
        <v>0</v>
      </c>
      <c r="Z34" s="2125">
        <f t="shared" ref="Z34:AB34" si="41">(Z35*Z36*12)/1000</f>
        <v>0</v>
      </c>
      <c r="AA34" s="2160">
        <f t="shared" si="41"/>
        <v>0</v>
      </c>
      <c r="AB34" s="2163">
        <f t="shared" si="41"/>
        <v>0</v>
      </c>
    </row>
    <row r="35" spans="1:28" ht="15.75" hidden="1" thickBot="1">
      <c r="A35" s="3524"/>
      <c r="B35" s="2123" t="s">
        <v>457</v>
      </c>
      <c r="C35" s="2159" t="s">
        <v>407</v>
      </c>
      <c r="D35" s="2125"/>
      <c r="E35" s="2126"/>
      <c r="F35" s="2116"/>
      <c r="G35" s="2160"/>
      <c r="H35" s="2161"/>
      <c r="I35" s="2125"/>
      <c r="J35" s="2126"/>
      <c r="K35" s="2117"/>
      <c r="L35" s="2125"/>
      <c r="M35" s="2116"/>
      <c r="N35" s="2117"/>
      <c r="O35" s="2116"/>
      <c r="P35" s="2162"/>
      <c r="Q35" s="2125"/>
      <c r="R35" s="2160"/>
      <c r="S35" s="2847"/>
      <c r="T35" s="2125"/>
      <c r="U35" s="2160"/>
      <c r="V35" s="2163"/>
      <c r="W35" s="2125"/>
      <c r="X35" s="2160"/>
      <c r="Y35" s="2163"/>
      <c r="Z35" s="2125"/>
      <c r="AA35" s="2160"/>
      <c r="AB35" s="2163"/>
    </row>
    <row r="36" spans="1:28" ht="15.75" hidden="1" thickBot="1">
      <c r="A36" s="3524"/>
      <c r="B36" s="2123" t="s">
        <v>290</v>
      </c>
      <c r="C36" s="2159" t="s">
        <v>291</v>
      </c>
      <c r="D36" s="2125"/>
      <c r="E36" s="2126"/>
      <c r="F36" s="2116"/>
      <c r="G36" s="2160"/>
      <c r="H36" s="2161"/>
      <c r="I36" s="2125"/>
      <c r="J36" s="2126"/>
      <c r="K36" s="2117"/>
      <c r="L36" s="2125"/>
      <c r="M36" s="2116"/>
      <c r="N36" s="2117"/>
      <c r="O36" s="2116"/>
      <c r="P36" s="2162"/>
      <c r="Q36" s="2125"/>
      <c r="R36" s="2160"/>
      <c r="S36" s="2847"/>
      <c r="T36" s="2125"/>
      <c r="U36" s="2160"/>
      <c r="V36" s="2163"/>
      <c r="W36" s="2125"/>
      <c r="X36" s="2160"/>
      <c r="Y36" s="2163"/>
      <c r="Z36" s="2125"/>
      <c r="AA36" s="2160"/>
      <c r="AB36" s="2163"/>
    </row>
    <row r="37" spans="1:28" ht="15.75" hidden="1" thickBot="1">
      <c r="A37" s="3524"/>
      <c r="B37" s="2123"/>
      <c r="C37" s="2124"/>
      <c r="D37" s="2125"/>
      <c r="E37" s="2126"/>
      <c r="F37" s="2116"/>
      <c r="G37" s="2160"/>
      <c r="H37" s="2161"/>
      <c r="I37" s="2125"/>
      <c r="J37" s="2126"/>
      <c r="K37" s="2117"/>
      <c r="L37" s="2125"/>
      <c r="M37" s="2116"/>
      <c r="N37" s="2117"/>
      <c r="O37" s="2116"/>
      <c r="P37" s="2162"/>
      <c r="Q37" s="2125"/>
      <c r="R37" s="2160"/>
      <c r="S37" s="2847"/>
      <c r="T37" s="2125"/>
      <c r="U37" s="2160"/>
      <c r="V37" s="2163"/>
      <c r="W37" s="2125"/>
      <c r="X37" s="2160"/>
      <c r="Y37" s="2163"/>
      <c r="Z37" s="2125"/>
      <c r="AA37" s="2160"/>
      <c r="AB37" s="2163"/>
    </row>
    <row r="38" spans="1:28" ht="15.75" hidden="1" thickBot="1">
      <c r="A38" s="3524"/>
      <c r="B38" s="2123"/>
      <c r="C38" s="2124"/>
      <c r="D38" s="2125"/>
      <c r="E38" s="2126"/>
      <c r="F38" s="2116"/>
      <c r="G38" s="2160"/>
      <c r="H38" s="2161"/>
      <c r="I38" s="2125"/>
      <c r="J38" s="2126"/>
      <c r="K38" s="2117"/>
      <c r="L38" s="2125"/>
      <c r="M38" s="2116"/>
      <c r="N38" s="2117"/>
      <c r="O38" s="2116"/>
      <c r="P38" s="2162"/>
      <c r="Q38" s="2125"/>
      <c r="R38" s="2160"/>
      <c r="S38" s="2847"/>
      <c r="T38" s="2125"/>
      <c r="U38" s="2160"/>
      <c r="V38" s="2163"/>
      <c r="W38" s="2125"/>
      <c r="X38" s="2160"/>
      <c r="Y38" s="2163"/>
      <c r="Z38" s="2125"/>
      <c r="AA38" s="2160"/>
      <c r="AB38" s="2163"/>
    </row>
    <row r="39" spans="1:28" ht="15.75" hidden="1" thickBot="1">
      <c r="A39" s="3524"/>
      <c r="B39" s="2123"/>
      <c r="C39" s="2135"/>
      <c r="D39" s="2136"/>
      <c r="E39" s="2137"/>
      <c r="F39" s="2138"/>
      <c r="G39" s="2140"/>
      <c r="H39" s="2168"/>
      <c r="I39" s="2136"/>
      <c r="J39" s="2137"/>
      <c r="K39" s="2139"/>
      <c r="L39" s="2136"/>
      <c r="M39" s="2138"/>
      <c r="N39" s="2139"/>
      <c r="O39" s="2138"/>
      <c r="P39" s="2169"/>
      <c r="Q39" s="2125"/>
      <c r="R39" s="2160"/>
      <c r="S39" s="2847"/>
      <c r="T39" s="2125"/>
      <c r="U39" s="2160"/>
      <c r="V39" s="2163"/>
      <c r="W39" s="2125"/>
      <c r="X39" s="2160"/>
      <c r="Y39" s="2163"/>
      <c r="Z39" s="2125"/>
      <c r="AA39" s="2160"/>
      <c r="AB39" s="2163"/>
    </row>
    <row r="40" spans="1:28" ht="39" thickBot="1">
      <c r="A40" s="2170" t="s">
        <v>54</v>
      </c>
      <c r="B40" s="2171" t="s">
        <v>84</v>
      </c>
      <c r="C40" s="2172" t="s">
        <v>11</v>
      </c>
      <c r="D40" s="2142">
        <f t="shared" ref="D40:F40" si="42">D41*D21/100</f>
        <v>2021.84168</v>
      </c>
      <c r="E40" s="2173">
        <v>1638.28</v>
      </c>
      <c r="F40" s="2173">
        <f t="shared" si="42"/>
        <v>1010.92084</v>
      </c>
      <c r="G40" s="2143">
        <f>G41*G21/100</f>
        <v>12501.149246859999</v>
      </c>
      <c r="H40" s="2144">
        <v>11141.311519999999</v>
      </c>
      <c r="I40" s="2142">
        <v>11112.14</v>
      </c>
      <c r="J40" s="2173">
        <v>6928.17</v>
      </c>
      <c r="K40" s="2174">
        <v>4183.97</v>
      </c>
      <c r="L40" s="2142">
        <f>L22*L41/100</f>
        <v>12372.94</v>
      </c>
      <c r="M40" s="2175">
        <f t="shared" ref="M40:P40" si="43">M22*M41/100</f>
        <v>7300.0346</v>
      </c>
      <c r="N40" s="2176">
        <f>N22*N41/100</f>
        <v>5072.9054000000006</v>
      </c>
      <c r="O40" s="2176">
        <f t="shared" si="43"/>
        <v>2728.5169989999999</v>
      </c>
      <c r="P40" s="2176">
        <f t="shared" si="43"/>
        <v>5703.2450019499993</v>
      </c>
      <c r="Q40" s="2177">
        <f>Q41*Q21/100</f>
        <v>12513.720199275502</v>
      </c>
      <c r="R40" s="2177">
        <f t="shared" ref="R40:V40" si="44">R41*R21/100</f>
        <v>6256.8600996377509</v>
      </c>
      <c r="S40" s="2848">
        <f t="shared" si="44"/>
        <v>6256.8600996377509</v>
      </c>
      <c r="T40" s="2177">
        <f t="shared" si="44"/>
        <v>13095.985201838344</v>
      </c>
      <c r="U40" s="2177">
        <f t="shared" si="44"/>
        <v>6547.9926009191722</v>
      </c>
      <c r="V40" s="2177">
        <f t="shared" si="44"/>
        <v>6547.9926009191722</v>
      </c>
      <c r="W40" s="2177">
        <f>W41*W21/100</f>
        <v>13659.112565517395</v>
      </c>
      <c r="X40" s="2177">
        <f t="shared" ref="X40:Y40" si="45">X41*X21/100</f>
        <v>6829.5562827586973</v>
      </c>
      <c r="Y40" s="2177">
        <f t="shared" si="45"/>
        <v>6829.5562827586973</v>
      </c>
      <c r="Z40" s="2177">
        <f>Z41*Z22/100</f>
        <v>12847.256499237121</v>
      </c>
      <c r="AA40" s="2177">
        <f>Z40*AA62</f>
        <v>7233.005409070498</v>
      </c>
      <c r="AB40" s="2177">
        <f>Z40*AA63</f>
        <v>4368.0672097406214</v>
      </c>
    </row>
    <row r="41" spans="1:28">
      <c r="A41" s="2178"/>
      <c r="B41" s="2179" t="s">
        <v>376</v>
      </c>
      <c r="C41" s="2180" t="s">
        <v>280</v>
      </c>
      <c r="D41" s="2181">
        <v>30.2</v>
      </c>
      <c r="E41" s="2111">
        <v>30.2</v>
      </c>
      <c r="F41" s="2112">
        <v>30.2</v>
      </c>
      <c r="G41" s="2182">
        <v>30.2</v>
      </c>
      <c r="H41" s="2114">
        <v>30.2</v>
      </c>
      <c r="I41" s="2183">
        <v>0.30199999999999999</v>
      </c>
      <c r="J41" s="2111">
        <v>30.2</v>
      </c>
      <c r="K41" s="2115">
        <v>30.2</v>
      </c>
      <c r="L41" s="2181">
        <v>30.2</v>
      </c>
      <c r="M41" s="2112">
        <v>30.2</v>
      </c>
      <c r="N41" s="2115">
        <v>30.2</v>
      </c>
      <c r="O41" s="2112">
        <v>30.2</v>
      </c>
      <c r="P41" s="2119">
        <v>30.2</v>
      </c>
      <c r="Q41" s="2181">
        <v>30.2</v>
      </c>
      <c r="R41" s="2111">
        <v>30.2</v>
      </c>
      <c r="S41" s="2846">
        <v>30.2</v>
      </c>
      <c r="T41" s="2181">
        <v>30.2</v>
      </c>
      <c r="U41" s="2181">
        <v>30.2</v>
      </c>
      <c r="V41" s="2181">
        <v>30.2</v>
      </c>
      <c r="W41" s="2181">
        <v>30.2</v>
      </c>
      <c r="X41" s="2184">
        <v>30.2</v>
      </c>
      <c r="Y41" s="2182">
        <v>30.2</v>
      </c>
      <c r="Z41" s="2181">
        <v>30.2</v>
      </c>
      <c r="AA41" s="2184">
        <v>30.2</v>
      </c>
      <c r="AB41" s="2182">
        <v>30.2</v>
      </c>
    </row>
    <row r="42" spans="1:28">
      <c r="A42" s="2122"/>
      <c r="B42" s="2185" t="s">
        <v>460</v>
      </c>
      <c r="C42" s="2186" t="s">
        <v>407</v>
      </c>
      <c r="D42" s="2187">
        <f>D23</f>
        <v>68</v>
      </c>
      <c r="E42" s="2188">
        <f t="shared" ref="E42:F42" si="46">E23</f>
        <v>34</v>
      </c>
      <c r="F42" s="2188">
        <f t="shared" si="46"/>
        <v>34</v>
      </c>
      <c r="G42" s="2188">
        <v>68</v>
      </c>
      <c r="H42" s="2189">
        <v>60</v>
      </c>
      <c r="I42" s="2187">
        <v>68</v>
      </c>
      <c r="J42" s="2190">
        <v>40</v>
      </c>
      <c r="K42" s="2191">
        <v>28</v>
      </c>
      <c r="L42" s="2187">
        <v>63</v>
      </c>
      <c r="M42" s="2192">
        <v>38</v>
      </c>
      <c r="N42" s="2191">
        <v>25</v>
      </c>
      <c r="O42" s="2192">
        <v>61</v>
      </c>
      <c r="P42" s="2193">
        <v>61</v>
      </c>
      <c r="Q42" s="2187">
        <f t="shared" ref="Q42:Y42" si="47">Q23+Q26+Q29+Q32+Q35</f>
        <v>63</v>
      </c>
      <c r="R42" s="2190">
        <v>38</v>
      </c>
      <c r="S42" s="2849">
        <v>25</v>
      </c>
      <c r="T42" s="2125">
        <v>63</v>
      </c>
      <c r="U42" s="2160">
        <v>38</v>
      </c>
      <c r="V42" s="2163">
        <v>25</v>
      </c>
      <c r="W42" s="2187">
        <f t="shared" si="47"/>
        <v>63</v>
      </c>
      <c r="X42" s="2194">
        <f t="shared" si="47"/>
        <v>31.5</v>
      </c>
      <c r="Y42" s="2195">
        <f t="shared" si="47"/>
        <v>31.5</v>
      </c>
      <c r="Z42" s="2187">
        <f t="shared" ref="Z42:AB42" si="48">Z23+Z26+Z29+Z32+Z35</f>
        <v>68</v>
      </c>
      <c r="AA42" s="2194">
        <f t="shared" si="48"/>
        <v>0</v>
      </c>
      <c r="AB42" s="2195">
        <f t="shared" si="48"/>
        <v>0</v>
      </c>
    </row>
    <row r="43" spans="1:28" ht="80.25" customHeight="1">
      <c r="A43" s="2196" t="s">
        <v>62</v>
      </c>
      <c r="B43" s="2197" t="s">
        <v>1713</v>
      </c>
      <c r="C43" s="2198" t="s">
        <v>11</v>
      </c>
      <c r="D43" s="2199">
        <v>63.91</v>
      </c>
      <c r="E43" s="2148">
        <v>36.700000000000003</v>
      </c>
      <c r="F43" s="2200">
        <v>63</v>
      </c>
      <c r="G43" s="2201">
        <v>68</v>
      </c>
      <c r="H43" s="2202">
        <v>60</v>
      </c>
      <c r="I43" s="2199">
        <v>11.55</v>
      </c>
      <c r="J43" s="2203">
        <v>6.5</v>
      </c>
      <c r="K43" s="2204">
        <v>3.93</v>
      </c>
      <c r="L43" s="2199">
        <f>H43*1.045</f>
        <v>62.699999999999996</v>
      </c>
      <c r="M43" s="2116">
        <f t="shared" ref="M43:M50" si="49">L43*$M$62</f>
        <v>36.992999999999995</v>
      </c>
      <c r="N43" s="2117">
        <f t="shared" ref="N43:N50" si="50">L43*$M$63</f>
        <v>25.706999999999997</v>
      </c>
      <c r="O43" s="2118">
        <f>('[9]Себ 1 полуг'!$IG$95)/1000</f>
        <v>5.76</v>
      </c>
      <c r="P43" s="2162">
        <f>O43*2</f>
        <v>11.52</v>
      </c>
      <c r="Q43" s="2199">
        <f>P43*1.045</f>
        <v>12.038399999999999</v>
      </c>
      <c r="R43" s="2148">
        <f t="shared" ref="R43:R51" si="51">Q43*$Q$62</f>
        <v>0</v>
      </c>
      <c r="S43" s="2200">
        <f t="shared" ref="S43:S51" si="52">Q43*$Q$63</f>
        <v>0</v>
      </c>
      <c r="T43" s="2199">
        <f>Q43*1.043</f>
        <v>12.556051199999999</v>
      </c>
      <c r="U43" s="2199">
        <f t="shared" ref="U43:U51" si="53">T43*$U$62</f>
        <v>0</v>
      </c>
      <c r="V43" s="2199">
        <f t="shared" ref="V43:V51" si="54">T43*$U$63</f>
        <v>0</v>
      </c>
      <c r="W43" s="2199">
        <f>T43*1.043</f>
        <v>13.095961401599999</v>
      </c>
      <c r="X43" s="2199">
        <f t="shared" ref="X43:X51" si="55">W43*$W$62</f>
        <v>0</v>
      </c>
      <c r="Y43" s="2199">
        <f t="shared" ref="Y43:Y51" si="56">W43*$W$63</f>
        <v>0</v>
      </c>
      <c r="Z43" s="2199">
        <f>Q43</f>
        <v>12.038399999999999</v>
      </c>
      <c r="AA43" s="2199">
        <f>Z43*$AA$62</f>
        <v>6.7776191999999993</v>
      </c>
      <c r="AB43" s="2199">
        <f>Z43*$AA$63</f>
        <v>4.0930559999999998</v>
      </c>
    </row>
    <row r="44" spans="1:28">
      <c r="A44" s="2205" t="s">
        <v>99</v>
      </c>
      <c r="B44" s="2197" t="s">
        <v>89</v>
      </c>
      <c r="C44" s="2198" t="s">
        <v>11</v>
      </c>
      <c r="D44" s="2199">
        <f>736.47+178.4</f>
        <v>914.87</v>
      </c>
      <c r="E44" s="2148">
        <f>D44*$E$8</f>
        <v>539.77329999999995</v>
      </c>
      <c r="F44" s="2200">
        <v>365.95</v>
      </c>
      <c r="G44" s="2201">
        <v>911.649</v>
      </c>
      <c r="H44" s="2202">
        <f t="shared" ref="H44:H53" si="57">G44*0.93</f>
        <v>847.83357000000001</v>
      </c>
      <c r="I44" s="2199">
        <f t="shared" ref="I44:I46" si="58">J44+K44</f>
        <v>476.33000000000004</v>
      </c>
      <c r="J44" s="2203">
        <v>296.98</v>
      </c>
      <c r="K44" s="2204">
        <v>179.35</v>
      </c>
      <c r="L44" s="2199">
        <f t="shared" ref="L44:L50" si="59">H44*1.045</f>
        <v>885.98608064999996</v>
      </c>
      <c r="M44" s="2116">
        <f t="shared" si="49"/>
        <v>522.73178758349991</v>
      </c>
      <c r="N44" s="2117">
        <f t="shared" si="50"/>
        <v>363.25429306649994</v>
      </c>
      <c r="O44" s="2118">
        <f>('[9]Себ 1 полуг'!$IG$169+'[9]Себ 1 полуг'!$IG$170)/1000</f>
        <v>336.33708000000001</v>
      </c>
      <c r="P44" s="2162">
        <f>O44*2</f>
        <v>672.67416000000003</v>
      </c>
      <c r="Q44" s="2199">
        <f t="shared" ref="Q44:Q50" si="60">P44*1.045</f>
        <v>702.9444972</v>
      </c>
      <c r="R44" s="2148">
        <f t="shared" si="51"/>
        <v>0</v>
      </c>
      <c r="S44" s="2200">
        <f t="shared" si="52"/>
        <v>0</v>
      </c>
      <c r="T44" s="2199">
        <f t="shared" ref="T44:T51" si="61">Q44*1.043</f>
        <v>733.17111057959994</v>
      </c>
      <c r="U44" s="2199">
        <f t="shared" si="53"/>
        <v>0</v>
      </c>
      <c r="V44" s="2199">
        <f t="shared" si="54"/>
        <v>0</v>
      </c>
      <c r="W44" s="2199">
        <f t="shared" ref="W44:W51" si="62">T44*1.043</f>
        <v>764.69746833452268</v>
      </c>
      <c r="X44" s="2199">
        <f t="shared" si="55"/>
        <v>0</v>
      </c>
      <c r="Y44" s="2199">
        <f t="shared" si="56"/>
        <v>0</v>
      </c>
      <c r="Z44" s="2199">
        <f>528*1.026</f>
        <v>541.72800000000007</v>
      </c>
      <c r="AA44" s="2199">
        <f>Z44*$AA$62</f>
        <v>304.992864</v>
      </c>
      <c r="AB44" s="2199">
        <f t="shared" ref="AB44:AB46" si="63">Z44*$AA$63</f>
        <v>184.18752000000003</v>
      </c>
    </row>
    <row r="45" spans="1:28">
      <c r="A45" s="2196" t="s">
        <v>221</v>
      </c>
      <c r="B45" s="2197" t="s">
        <v>91</v>
      </c>
      <c r="C45" s="2198" t="s">
        <v>11</v>
      </c>
      <c r="D45" s="2199">
        <v>523.6</v>
      </c>
      <c r="E45" s="2148">
        <f>D45*$E$8</f>
        <v>308.92399999999998</v>
      </c>
      <c r="F45" s="2200">
        <v>385.36</v>
      </c>
      <c r="G45" s="2201">
        <f>'[8]Себ ГОД'!$CC$345+230</f>
        <v>540.87372000000005</v>
      </c>
      <c r="H45" s="2202">
        <f t="shared" si="57"/>
        <v>503.01255960000009</v>
      </c>
      <c r="I45" s="2199">
        <f t="shared" si="58"/>
        <v>863.4</v>
      </c>
      <c r="J45" s="2203">
        <v>311</v>
      </c>
      <c r="K45" s="2204">
        <v>552.4</v>
      </c>
      <c r="L45" s="2199">
        <f t="shared" si="59"/>
        <v>525.64812478200008</v>
      </c>
      <c r="M45" s="2116">
        <f t="shared" si="49"/>
        <v>310.13239362138</v>
      </c>
      <c r="N45" s="2117">
        <f t="shared" si="50"/>
        <v>215.51573116062002</v>
      </c>
      <c r="O45" s="2118">
        <f>'[9]Себ 1 полуг'!$IG$159/1000</f>
        <v>607.92999999999995</v>
      </c>
      <c r="P45" s="2162">
        <f t="shared" ref="P45:P50" si="64">O45*2</f>
        <v>1215.8599999999999</v>
      </c>
      <c r="Q45" s="2199">
        <f t="shared" si="60"/>
        <v>1270.5736999999999</v>
      </c>
      <c r="R45" s="2148">
        <f t="shared" si="51"/>
        <v>0</v>
      </c>
      <c r="S45" s="2200">
        <f t="shared" si="52"/>
        <v>0</v>
      </c>
      <c r="T45" s="2199">
        <f t="shared" si="61"/>
        <v>1325.2083690999998</v>
      </c>
      <c r="U45" s="2199">
        <f t="shared" si="53"/>
        <v>0</v>
      </c>
      <c r="V45" s="2199">
        <f t="shared" si="54"/>
        <v>0</v>
      </c>
      <c r="W45" s="2199">
        <f t="shared" si="62"/>
        <v>1382.1923289712997</v>
      </c>
      <c r="X45" s="2199">
        <f t="shared" si="55"/>
        <v>0</v>
      </c>
      <c r="Y45" s="2199">
        <f t="shared" si="56"/>
        <v>0</v>
      </c>
      <c r="Z45" s="2199">
        <f>552.4*1.026</f>
        <v>566.76239999999996</v>
      </c>
      <c r="AA45" s="2199">
        <f>Z45*$AA$62</f>
        <v>319.08723119999996</v>
      </c>
      <c r="AB45" s="2199">
        <f t="shared" si="63"/>
        <v>192.69921600000001</v>
      </c>
    </row>
    <row r="46" spans="1:28" ht="25.5">
      <c r="A46" s="2205" t="s">
        <v>359</v>
      </c>
      <c r="B46" s="2197" t="s">
        <v>93</v>
      </c>
      <c r="C46" s="2198" t="s">
        <v>11</v>
      </c>
      <c r="D46" s="2199">
        <v>236.01900000000001</v>
      </c>
      <c r="E46" s="2148">
        <f>D46*$E$8</f>
        <v>139.25120999999999</v>
      </c>
      <c r="F46" s="2200">
        <v>94.4</v>
      </c>
      <c r="G46" s="2201">
        <f>'[8]Себ ГОД'!$CC$354+250</f>
        <v>261.29908</v>
      </c>
      <c r="H46" s="2202">
        <f t="shared" si="57"/>
        <v>243.00814440000002</v>
      </c>
      <c r="I46" s="2199">
        <f t="shared" si="58"/>
        <v>121.91</v>
      </c>
      <c r="J46" s="2203">
        <v>76.010000000000005</v>
      </c>
      <c r="K46" s="2204">
        <v>45.9</v>
      </c>
      <c r="L46" s="2199">
        <f t="shared" si="59"/>
        <v>253.943510898</v>
      </c>
      <c r="M46" s="2116">
        <f t="shared" si="49"/>
        <v>149.82667142981998</v>
      </c>
      <c r="N46" s="2117">
        <f t="shared" si="50"/>
        <v>104.11683946817999</v>
      </c>
      <c r="O46" s="2118">
        <f>'[9]Себ 1 полуг'!$IG$354</f>
        <v>49.803320000000006</v>
      </c>
      <c r="P46" s="2162">
        <f t="shared" si="64"/>
        <v>99.606640000000013</v>
      </c>
      <c r="Q46" s="2199">
        <f t="shared" si="60"/>
        <v>104.08893880000001</v>
      </c>
      <c r="R46" s="2148">
        <f t="shared" si="51"/>
        <v>0</v>
      </c>
      <c r="S46" s="2200">
        <f t="shared" si="52"/>
        <v>0</v>
      </c>
      <c r="T46" s="2199">
        <f t="shared" si="61"/>
        <v>108.56476316840001</v>
      </c>
      <c r="U46" s="2199">
        <f t="shared" si="53"/>
        <v>0</v>
      </c>
      <c r="V46" s="2199">
        <f t="shared" si="54"/>
        <v>0</v>
      </c>
      <c r="W46" s="2199">
        <f t="shared" si="62"/>
        <v>113.2330479846412</v>
      </c>
      <c r="X46" s="2199">
        <f t="shared" si="55"/>
        <v>0</v>
      </c>
      <c r="Y46" s="2199">
        <f t="shared" si="56"/>
        <v>0</v>
      </c>
      <c r="Z46" s="2199">
        <f>Q46</f>
        <v>104.08893880000001</v>
      </c>
      <c r="AA46" s="2199">
        <f>Z46*$AA$62</f>
        <v>58.602072544400002</v>
      </c>
      <c r="AB46" s="2199">
        <f t="shared" si="63"/>
        <v>35.390239192000003</v>
      </c>
    </row>
    <row r="47" spans="1:28">
      <c r="A47" s="2196" t="s">
        <v>276</v>
      </c>
      <c r="B47" s="2197" t="s">
        <v>95</v>
      </c>
      <c r="C47" s="2198" t="s">
        <v>11</v>
      </c>
      <c r="D47" s="2199">
        <f>SUM(D53:D53)</f>
        <v>18299.759999999998</v>
      </c>
      <c r="E47" s="2148">
        <f>D47*$E$8</f>
        <v>10796.858399999999</v>
      </c>
      <c r="F47" s="2200">
        <v>9400</v>
      </c>
      <c r="G47" s="2206">
        <f>SUM(G53:G53)</f>
        <v>12675.4</v>
      </c>
      <c r="H47" s="2202">
        <f t="shared" si="57"/>
        <v>11788.121999999999</v>
      </c>
      <c r="I47" s="2199">
        <f>J47+K47</f>
        <v>13116.24</v>
      </c>
      <c r="J47" s="2203">
        <f>J48+J49+J50+J53</f>
        <v>8177.68</v>
      </c>
      <c r="K47" s="2203">
        <f>K48+K49+K50+K53</f>
        <v>4938.5599999999995</v>
      </c>
      <c r="L47" s="2199">
        <f t="shared" si="59"/>
        <v>12318.587489999998</v>
      </c>
      <c r="M47" s="2116">
        <f t="shared" si="49"/>
        <v>7267.9666190999988</v>
      </c>
      <c r="N47" s="2117">
        <f t="shared" si="50"/>
        <v>5050.6208708999993</v>
      </c>
      <c r="O47" s="2206">
        <f>O53</f>
        <v>6624.68</v>
      </c>
      <c r="P47" s="2162">
        <f t="shared" si="64"/>
        <v>13249.36</v>
      </c>
      <c r="Q47" s="2199">
        <f t="shared" si="60"/>
        <v>13845.581200000001</v>
      </c>
      <c r="R47" s="2148">
        <f t="shared" si="51"/>
        <v>0</v>
      </c>
      <c r="S47" s="2200">
        <f t="shared" si="52"/>
        <v>0</v>
      </c>
      <c r="T47" s="2199">
        <f t="shared" si="61"/>
        <v>14440.941191599999</v>
      </c>
      <c r="U47" s="2199">
        <f t="shared" si="53"/>
        <v>0</v>
      </c>
      <c r="V47" s="2199">
        <f t="shared" si="54"/>
        <v>0</v>
      </c>
      <c r="W47" s="2199">
        <f t="shared" si="62"/>
        <v>15061.901662838798</v>
      </c>
      <c r="X47" s="2199">
        <f t="shared" si="55"/>
        <v>0</v>
      </c>
      <c r="Y47" s="2199">
        <f t="shared" si="56"/>
        <v>0</v>
      </c>
      <c r="Z47" s="2199">
        <f>Z48+Z49+Z50+Z51+Z52</f>
        <v>3981.5394195678796</v>
      </c>
      <c r="AA47" s="2199">
        <f t="shared" ref="AA47:AB47" si="65">AA48+AA49+AA50+AA51+AA52</f>
        <v>2241.6066932167159</v>
      </c>
      <c r="AB47" s="2199">
        <f t="shared" si="65"/>
        <v>1353.7234026530791</v>
      </c>
    </row>
    <row r="48" spans="1:28" ht="29.25" customHeight="1">
      <c r="A48" s="2207" t="s">
        <v>278</v>
      </c>
      <c r="B48" s="2208" t="s">
        <v>1100</v>
      </c>
      <c r="C48" s="2209" t="s">
        <v>11</v>
      </c>
      <c r="D48" s="2210">
        <v>0</v>
      </c>
      <c r="E48" s="2148">
        <f>D48*0.58</f>
        <v>0</v>
      </c>
      <c r="F48" s="2211">
        <f>D48*0.42</f>
        <v>0</v>
      </c>
      <c r="G48" s="2212">
        <v>495.5</v>
      </c>
      <c r="H48" s="2850">
        <f t="shared" si="57"/>
        <v>460.815</v>
      </c>
      <c r="I48" s="2210">
        <v>101.19</v>
      </c>
      <c r="J48" s="2851">
        <v>56.97</v>
      </c>
      <c r="K48" s="2852">
        <v>34.4</v>
      </c>
      <c r="L48" s="2210">
        <f t="shared" si="59"/>
        <v>481.55167499999999</v>
      </c>
      <c r="M48" s="2853">
        <f t="shared" si="49"/>
        <v>284.11548825</v>
      </c>
      <c r="N48" s="2854">
        <f t="shared" si="50"/>
        <v>197.43618674999999</v>
      </c>
      <c r="O48" s="2853">
        <f>('[9]Себ 1 полуг'!$IG$100+'[9]Себ 1 полуг'!$IG$104+'[9]Себ 1 полуг'!$IG$106)/1000</f>
        <v>660.27949000000001</v>
      </c>
      <c r="P48" s="2855">
        <f t="shared" si="64"/>
        <v>1320.55898</v>
      </c>
      <c r="Q48" s="2210">
        <f t="shared" si="60"/>
        <v>1379.9841340999999</v>
      </c>
      <c r="R48" s="2211">
        <f t="shared" si="51"/>
        <v>0</v>
      </c>
      <c r="S48" s="2211">
        <f t="shared" si="52"/>
        <v>0</v>
      </c>
      <c r="T48" s="2199">
        <f t="shared" si="61"/>
        <v>1439.3234518662998</v>
      </c>
      <c r="U48" s="2199">
        <f t="shared" si="53"/>
        <v>0</v>
      </c>
      <c r="V48" s="2199">
        <f t="shared" si="54"/>
        <v>0</v>
      </c>
      <c r="W48" s="2199">
        <f t="shared" si="62"/>
        <v>1501.2143602965507</v>
      </c>
      <c r="X48" s="2199">
        <f t="shared" si="55"/>
        <v>0</v>
      </c>
      <c r="Y48" s="2199">
        <f t="shared" si="56"/>
        <v>0</v>
      </c>
      <c r="Z48" s="2210">
        <f>G48*1.05*1.026</f>
        <v>533.80214999999998</v>
      </c>
      <c r="AA48" s="2210">
        <f t="shared" ref="AA48:AA53" si="66">Z48*$AA$62</f>
        <v>300.53061044999998</v>
      </c>
      <c r="AB48" s="2210">
        <f>Z48*$AA$63</f>
        <v>181.49273100000002</v>
      </c>
    </row>
    <row r="49" spans="1:29" ht="20.25" customHeight="1">
      <c r="A49" s="2207" t="s">
        <v>118</v>
      </c>
      <c r="B49" s="2208" t="s">
        <v>1522</v>
      </c>
      <c r="C49" s="2209" t="s">
        <v>11</v>
      </c>
      <c r="D49" s="2210">
        <v>0</v>
      </c>
      <c r="E49" s="2148">
        <f>D49*0.58</f>
        <v>0</v>
      </c>
      <c r="F49" s="2211">
        <f>D49*0.42</f>
        <v>0</v>
      </c>
      <c r="G49" s="2212">
        <v>515</v>
      </c>
      <c r="H49" s="2850">
        <f t="shared" si="57"/>
        <v>478.95000000000005</v>
      </c>
      <c r="I49" s="2210"/>
      <c r="J49" s="2851"/>
      <c r="K49" s="2852"/>
      <c r="L49" s="2210">
        <f t="shared" si="59"/>
        <v>500.50274999999999</v>
      </c>
      <c r="M49" s="2853">
        <f t="shared" si="49"/>
        <v>295.29662249999996</v>
      </c>
      <c r="N49" s="2854">
        <f t="shared" si="50"/>
        <v>205.20612749999998</v>
      </c>
      <c r="O49" s="2853">
        <f>'[9]Себ 1 полуг'!$IG$98/1000</f>
        <v>351.00847000000005</v>
      </c>
      <c r="P49" s="2855">
        <f t="shared" si="64"/>
        <v>702.01694000000009</v>
      </c>
      <c r="Q49" s="2210">
        <f t="shared" si="60"/>
        <v>733.60770230000003</v>
      </c>
      <c r="R49" s="2211">
        <f t="shared" si="51"/>
        <v>0</v>
      </c>
      <c r="S49" s="2211">
        <f t="shared" si="52"/>
        <v>0</v>
      </c>
      <c r="T49" s="2199">
        <f t="shared" si="61"/>
        <v>765.15283349890001</v>
      </c>
      <c r="U49" s="2199">
        <f t="shared" si="53"/>
        <v>0</v>
      </c>
      <c r="V49" s="2199">
        <f t="shared" si="54"/>
        <v>0</v>
      </c>
      <c r="W49" s="2199">
        <f t="shared" si="62"/>
        <v>798.05440533935268</v>
      </c>
      <c r="X49" s="2199">
        <f t="shared" si="55"/>
        <v>0</v>
      </c>
      <c r="Y49" s="2199">
        <f t="shared" si="56"/>
        <v>0</v>
      </c>
      <c r="Z49" s="2210">
        <f>G49*1.05*1.026</f>
        <v>554.80949999999996</v>
      </c>
      <c r="AA49" s="2210">
        <f t="shared" si="66"/>
        <v>312.35774849999996</v>
      </c>
      <c r="AB49" s="2210">
        <f t="shared" ref="AB49:AB53" si="67">Z49*$AA$63</f>
        <v>188.63523000000001</v>
      </c>
    </row>
    <row r="50" spans="1:29" ht="17.25" customHeight="1">
      <c r="A50" s="2207"/>
      <c r="B50" s="2208" t="s">
        <v>1714</v>
      </c>
      <c r="C50" s="2209" t="s">
        <v>11</v>
      </c>
      <c r="D50" s="2210">
        <f>435.5+127.9</f>
        <v>563.4</v>
      </c>
      <c r="E50" s="2148"/>
      <c r="F50" s="2211"/>
      <c r="G50" s="2212">
        <v>1950.44</v>
      </c>
      <c r="H50" s="2850">
        <f t="shared" si="57"/>
        <v>1813.9092000000001</v>
      </c>
      <c r="I50" s="2210"/>
      <c r="J50" s="2851"/>
      <c r="K50" s="2852"/>
      <c r="L50" s="2210">
        <f t="shared" si="59"/>
        <v>1895.535114</v>
      </c>
      <c r="M50" s="2853">
        <f t="shared" si="49"/>
        <v>1118.3657172599999</v>
      </c>
      <c r="N50" s="2854">
        <f t="shared" si="50"/>
        <v>777.16939673999991</v>
      </c>
      <c r="O50" s="2853">
        <f>('[9]Себ 1 полуг'!$IG$162)/1000</f>
        <v>317.60550999999998</v>
      </c>
      <c r="P50" s="2855">
        <f t="shared" si="64"/>
        <v>635.21101999999996</v>
      </c>
      <c r="Q50" s="2210">
        <f t="shared" si="60"/>
        <v>663.79551589999994</v>
      </c>
      <c r="R50" s="2211">
        <f t="shared" si="51"/>
        <v>0</v>
      </c>
      <c r="S50" s="2211">
        <f t="shared" si="52"/>
        <v>0</v>
      </c>
      <c r="T50" s="2199">
        <f t="shared" si="61"/>
        <v>692.33872308369985</v>
      </c>
      <c r="U50" s="2199">
        <f t="shared" si="53"/>
        <v>0</v>
      </c>
      <c r="V50" s="2199">
        <f t="shared" si="54"/>
        <v>0</v>
      </c>
      <c r="W50" s="2199">
        <f t="shared" si="62"/>
        <v>722.10928817629895</v>
      </c>
      <c r="X50" s="2199">
        <f t="shared" si="55"/>
        <v>0</v>
      </c>
      <c r="Y50" s="2199">
        <f t="shared" si="56"/>
        <v>0</v>
      </c>
      <c r="Z50" s="2210">
        <f t="shared" ref="Z50" si="68">W50*1.043</f>
        <v>753.15998756787974</v>
      </c>
      <c r="AA50" s="2210">
        <f t="shared" si="66"/>
        <v>424.02907300071627</v>
      </c>
      <c r="AB50" s="2210">
        <f t="shared" si="67"/>
        <v>256.07439577307912</v>
      </c>
    </row>
    <row r="51" spans="1:29" ht="19.5" customHeight="1">
      <c r="A51" s="2207"/>
      <c r="B51" s="2208" t="s">
        <v>1689</v>
      </c>
      <c r="C51" s="2209" t="s">
        <v>11</v>
      </c>
      <c r="D51" s="2210">
        <v>1110.8</v>
      </c>
      <c r="E51" s="2148"/>
      <c r="F51" s="2211"/>
      <c r="G51" s="2212"/>
      <c r="H51" s="2850"/>
      <c r="I51" s="2210"/>
      <c r="J51" s="2851"/>
      <c r="K51" s="2852"/>
      <c r="L51" s="2210"/>
      <c r="M51" s="2853"/>
      <c r="N51" s="2854"/>
      <c r="O51" s="2853"/>
      <c r="P51" s="2855"/>
      <c r="Q51" s="2210"/>
      <c r="R51" s="2211">
        <f t="shared" si="51"/>
        <v>0</v>
      </c>
      <c r="S51" s="2211">
        <f t="shared" si="52"/>
        <v>0</v>
      </c>
      <c r="T51" s="2199">
        <f t="shared" si="61"/>
        <v>0</v>
      </c>
      <c r="U51" s="2199">
        <f t="shared" si="53"/>
        <v>0</v>
      </c>
      <c r="V51" s="2199">
        <f t="shared" si="54"/>
        <v>0</v>
      </c>
      <c r="W51" s="2199">
        <f t="shared" si="62"/>
        <v>0</v>
      </c>
      <c r="X51" s="2199">
        <f t="shared" si="55"/>
        <v>0</v>
      </c>
      <c r="Y51" s="2199">
        <f t="shared" si="56"/>
        <v>0</v>
      </c>
      <c r="Z51" s="2210">
        <f>D51*1.07</f>
        <v>1188.556</v>
      </c>
      <c r="AA51" s="2210">
        <f t="shared" si="66"/>
        <v>669.15702799999997</v>
      </c>
      <c r="AB51" s="2210">
        <f t="shared" si="67"/>
        <v>404.10904000000005</v>
      </c>
    </row>
    <row r="52" spans="1:29" ht="21.75" customHeight="1">
      <c r="A52" s="2207"/>
      <c r="B52" s="2208" t="s">
        <v>1753</v>
      </c>
      <c r="C52" s="2209" t="s">
        <v>11</v>
      </c>
      <c r="D52" s="2210"/>
      <c r="E52" s="2148"/>
      <c r="F52" s="2211"/>
      <c r="G52" s="2212"/>
      <c r="H52" s="2850"/>
      <c r="I52" s="2210"/>
      <c r="J52" s="2851"/>
      <c r="K52" s="2852"/>
      <c r="L52" s="2210"/>
      <c r="M52" s="2853"/>
      <c r="N52" s="2854"/>
      <c r="O52" s="2853"/>
      <c r="P52" s="2855"/>
      <c r="Q52" s="2210"/>
      <c r="R52" s="2211"/>
      <c r="S52" s="2211"/>
      <c r="T52" s="2199"/>
      <c r="U52" s="2199"/>
      <c r="V52" s="2199"/>
      <c r="W52" s="2199"/>
      <c r="X52" s="2199"/>
      <c r="Y52" s="2199"/>
      <c r="Z52" s="2210">
        <f>173*5359*1.026/1000</f>
        <v>951.21178199999997</v>
      </c>
      <c r="AA52" s="2210">
        <f t="shared" si="66"/>
        <v>535.53223326599993</v>
      </c>
      <c r="AB52" s="2210">
        <f t="shared" si="67"/>
        <v>323.41200588000004</v>
      </c>
    </row>
    <row r="53" spans="1:29" ht="54.75" customHeight="1" thickBot="1">
      <c r="A53" s="2213" t="s">
        <v>120</v>
      </c>
      <c r="B53" s="2214" t="s">
        <v>1307</v>
      </c>
      <c r="C53" s="2215" t="s">
        <v>11</v>
      </c>
      <c r="D53" s="2216">
        <v>18299.759999999998</v>
      </c>
      <c r="E53" s="2217">
        <v>6000</v>
      </c>
      <c r="F53" s="2217">
        <v>5600</v>
      </c>
      <c r="G53" s="2218">
        <f>12546.94+(6930+110+424+3241)*12/1000</f>
        <v>12675.4</v>
      </c>
      <c r="H53" s="2202">
        <f t="shared" si="57"/>
        <v>11788.121999999999</v>
      </c>
      <c r="I53" s="2216">
        <f>J53+K53</f>
        <v>13024.869999999999</v>
      </c>
      <c r="J53" s="2219">
        <v>8120.71</v>
      </c>
      <c r="K53" s="2220">
        <v>4904.16</v>
      </c>
      <c r="L53" s="2216">
        <f>G53*1.05</f>
        <v>13309.17</v>
      </c>
      <c r="M53" s="2116">
        <f>L53*$M$62</f>
        <v>7852.4102999999996</v>
      </c>
      <c r="N53" s="2117">
        <f>L53*$M$63</f>
        <v>5456.7596999999996</v>
      </c>
      <c r="O53" s="2118">
        <f>9517-O56</f>
        <v>6624.68</v>
      </c>
      <c r="P53" s="2162">
        <f>19034-P56</f>
        <v>13249.36</v>
      </c>
      <c r="Q53" s="2199">
        <f>P53*1.045</f>
        <v>13845.581200000001</v>
      </c>
      <c r="R53" s="2148">
        <f>Q53*$Q$62</f>
        <v>0</v>
      </c>
      <c r="S53" s="2200">
        <f>Q53*$Q$63</f>
        <v>0</v>
      </c>
      <c r="T53" s="2199">
        <f>Q53*1.043</f>
        <v>14440.941191599999</v>
      </c>
      <c r="U53" s="2199">
        <f>T53*$U$62</f>
        <v>0</v>
      </c>
      <c r="V53" s="2199">
        <f>T53*$U$63</f>
        <v>0</v>
      </c>
      <c r="W53" s="2199">
        <f>T53*1.043</f>
        <v>15061.901662838798</v>
      </c>
      <c r="X53" s="2199">
        <f>W53*$W$62</f>
        <v>0</v>
      </c>
      <c r="Y53" s="2199">
        <f>W53*$W$63</f>
        <v>0</v>
      </c>
      <c r="Z53" s="2199">
        <v>13845.58</v>
      </c>
      <c r="AA53" s="2199">
        <f t="shared" si="66"/>
        <v>7795.0615399999988</v>
      </c>
      <c r="AB53" s="2199">
        <f t="shared" si="67"/>
        <v>4707.4972000000007</v>
      </c>
    </row>
    <row r="54" spans="1:29" ht="18" customHeight="1" thickBot="1">
      <c r="A54" s="2221"/>
      <c r="B54" s="2222" t="s">
        <v>157</v>
      </c>
      <c r="C54" s="2223"/>
      <c r="D54" s="2224">
        <f t="shared" ref="D54:Y54" si="69">D10+D20+D43+D44+D45+D46+D47+D48+D49+D50+D53</f>
        <v>56215.775679999992</v>
      </c>
      <c r="E54" s="2224">
        <f t="shared" si="69"/>
        <v>32639.66041</v>
      </c>
      <c r="F54" s="2224">
        <f t="shared" si="69"/>
        <v>23812.092339999999</v>
      </c>
      <c r="G54" s="2224">
        <f t="shared" si="69"/>
        <v>91777.671896859989</v>
      </c>
      <c r="H54" s="2224">
        <f t="shared" si="69"/>
        <v>83260.081029599998</v>
      </c>
      <c r="I54" s="2224">
        <f t="shared" si="69"/>
        <v>81733.73000000001</v>
      </c>
      <c r="J54" s="2224">
        <f t="shared" si="69"/>
        <v>50724.590000000004</v>
      </c>
      <c r="K54" s="2224">
        <f t="shared" si="69"/>
        <v>30998.2</v>
      </c>
      <c r="L54" s="2224">
        <f t="shared" si="69"/>
        <v>91145.74744753199</v>
      </c>
      <c r="M54" s="2224">
        <f t="shared" si="69"/>
        <v>52670.144393739698</v>
      </c>
      <c r="N54" s="2225">
        <f t="shared" si="69"/>
        <v>36879.809273590297</v>
      </c>
      <c r="O54" s="2225">
        <f t="shared" si="69"/>
        <v>29424.562169000004</v>
      </c>
      <c r="P54" s="2225">
        <f t="shared" si="69"/>
        <v>61385.603566950012</v>
      </c>
      <c r="Q54" s="2224">
        <f t="shared" si="69"/>
        <v>92403.205999825484</v>
      </c>
      <c r="R54" s="2224">
        <f t="shared" si="69"/>
        <v>26974.93989976275</v>
      </c>
      <c r="S54" s="2224">
        <f t="shared" si="69"/>
        <v>26974.93989976275</v>
      </c>
      <c r="T54" s="2224">
        <f t="shared" si="69"/>
        <v>96566.993838811977</v>
      </c>
      <c r="U54" s="2224">
        <f t="shared" si="69"/>
        <v>28230.087305949546</v>
      </c>
      <c r="V54" s="2224">
        <f t="shared" si="69"/>
        <v>28230.087305949546</v>
      </c>
      <c r="W54" s="2224">
        <f t="shared" si="69"/>
        <v>100719.37457388092</v>
      </c>
      <c r="X54" s="2224">
        <f t="shared" si="69"/>
        <v>29443.98106010538</v>
      </c>
      <c r="Y54" s="2226">
        <f t="shared" si="69"/>
        <v>29443.98106010538</v>
      </c>
      <c r="Z54" s="2996">
        <f>Z10+Z20+Z43+Z44+Z45+Z46+Z47+Z53</f>
        <v>81579.171210724991</v>
      </c>
      <c r="AA54" s="2996">
        <f>AA10+AA20+AA43+AA44+AA45+AA46+AA47+AA53</f>
        <v>46375.194591638181</v>
      </c>
      <c r="AB54" s="2996">
        <f>AB10+AB20+AB43+AB44+AB45+AB46+AB47+AB53</f>
        <v>27736.918211646502</v>
      </c>
    </row>
    <row r="55" spans="1:29" ht="15.75" thickBot="1">
      <c r="A55" s="2227"/>
      <c r="B55" s="2228" t="s">
        <v>1285</v>
      </c>
      <c r="C55" s="2228"/>
      <c r="D55" s="2229">
        <f>D54-D53</f>
        <v>37916.015679999997</v>
      </c>
      <c r="E55" s="2229">
        <f t="shared" ref="E55:G55" si="70">E54-E53</f>
        <v>26639.66041</v>
      </c>
      <c r="F55" s="2229">
        <f t="shared" si="70"/>
        <v>18212.092339999999</v>
      </c>
      <c r="G55" s="2229">
        <f t="shared" si="70"/>
        <v>79102.271896859995</v>
      </c>
      <c r="H55" s="2229">
        <f>H54-H53</f>
        <v>71471.959029599995</v>
      </c>
      <c r="I55" s="2229">
        <f t="shared" ref="I55:AA55" si="71">I54-I53</f>
        <v>68708.860000000015</v>
      </c>
      <c r="J55" s="2229">
        <f t="shared" si="71"/>
        <v>42603.880000000005</v>
      </c>
      <c r="K55" s="2229">
        <f t="shared" si="71"/>
        <v>26094.04</v>
      </c>
      <c r="L55" s="2229">
        <f t="shared" si="71"/>
        <v>77836.577447531992</v>
      </c>
      <c r="M55" s="2229">
        <f t="shared" si="71"/>
        <v>44817.734093739695</v>
      </c>
      <c r="N55" s="2230">
        <f t="shared" si="71"/>
        <v>31423.049573590299</v>
      </c>
      <c r="O55" s="2230">
        <f>O54-O53</f>
        <v>22799.882169000004</v>
      </c>
      <c r="P55" s="2230">
        <f t="shared" ref="P55:X55" si="72">P54-P53</f>
        <v>48136.243566950012</v>
      </c>
      <c r="Q55" s="2230">
        <f t="shared" si="72"/>
        <v>78557.624799825484</v>
      </c>
      <c r="R55" s="2230">
        <f t="shared" si="72"/>
        <v>26974.93989976275</v>
      </c>
      <c r="S55" s="2230">
        <f t="shared" si="72"/>
        <v>26974.93989976275</v>
      </c>
      <c r="T55" s="2230">
        <f t="shared" si="72"/>
        <v>82126.052647211982</v>
      </c>
      <c r="U55" s="2230">
        <f t="shared" si="72"/>
        <v>28230.087305949546</v>
      </c>
      <c r="V55" s="2230">
        <f t="shared" si="72"/>
        <v>28230.087305949546</v>
      </c>
      <c r="W55" s="2230">
        <f t="shared" si="72"/>
        <v>85657.472911042132</v>
      </c>
      <c r="X55" s="2230">
        <f t="shared" si="72"/>
        <v>29443.98106010538</v>
      </c>
      <c r="Y55" s="2229">
        <f t="shared" si="71"/>
        <v>29443.98106010538</v>
      </c>
      <c r="Z55" s="2997">
        <f t="shared" si="71"/>
        <v>67733.59121072499</v>
      </c>
      <c r="AA55" s="2997">
        <f t="shared" si="71"/>
        <v>38580.133051638186</v>
      </c>
      <c r="AB55" s="2998">
        <f t="shared" ref="AB55" si="73">AB54-AB53</f>
        <v>23029.4210116465</v>
      </c>
    </row>
    <row r="56" spans="1:29" ht="50.25" customHeight="1">
      <c r="A56" s="2231" t="s">
        <v>1282</v>
      </c>
      <c r="B56" s="2232" t="s">
        <v>1306</v>
      </c>
      <c r="C56" s="2233" t="s">
        <v>32</v>
      </c>
      <c r="D56" s="2234"/>
      <c r="E56" s="2234">
        <f>'охрана озер'!B27</f>
        <v>3526.74</v>
      </c>
      <c r="F56" s="2234"/>
      <c r="G56" s="2234"/>
      <c r="H56" s="2234">
        <f>E56</f>
        <v>3526.74</v>
      </c>
      <c r="I56" s="2234"/>
      <c r="J56" s="2234"/>
      <c r="K56" s="2234"/>
      <c r="L56" s="2234"/>
      <c r="M56" s="2234">
        <f>'охрана озер'!C27</f>
        <v>7544.34</v>
      </c>
      <c r="N56" s="2235"/>
      <c r="O56" s="2236">
        <f>P56/2</f>
        <v>2892.32</v>
      </c>
      <c r="P56" s="2237">
        <v>5784.64</v>
      </c>
      <c r="Q56" s="2234"/>
      <c r="R56" s="2234">
        <f>'охрана озер'!D27</f>
        <v>11569.278599999998</v>
      </c>
      <c r="S56" s="2234">
        <f t="shared" ref="S56" si="74">R56*$AA$62</f>
        <v>6513.5038517999983</v>
      </c>
      <c r="T56" s="2234"/>
      <c r="U56" s="2234">
        <f>'охрана озер'!E27</f>
        <v>12066.757579799998</v>
      </c>
      <c r="V56" s="2234"/>
      <c r="W56" s="2234"/>
      <c r="X56" s="2234">
        <f>'охрана озер'!F27</f>
        <v>12585.628155731396</v>
      </c>
      <c r="Y56" s="2234"/>
      <c r="Z56" s="2234"/>
      <c r="AA56" s="2234">
        <f>'охрана озер'!I27</f>
        <v>0</v>
      </c>
      <c r="AB56" s="2234"/>
      <c r="AC56" s="3194" t="s">
        <v>1793</v>
      </c>
    </row>
    <row r="57" spans="1:29">
      <c r="A57" s="2238"/>
      <c r="B57" s="2238"/>
      <c r="C57" s="2238"/>
      <c r="D57" s="2238"/>
      <c r="E57" s="2238"/>
      <c r="F57" s="2238"/>
      <c r="G57" s="2238"/>
      <c r="H57" s="2238"/>
      <c r="I57" s="2238"/>
      <c r="J57" s="2238"/>
      <c r="K57" s="2238"/>
      <c r="L57" s="2238"/>
      <c r="M57" s="2238"/>
      <c r="N57" s="2238"/>
      <c r="O57" s="2238"/>
      <c r="P57" s="2238"/>
    </row>
    <row r="58" spans="1:29">
      <c r="A58" s="2239"/>
      <c r="B58" s="2240" t="s">
        <v>1357</v>
      </c>
      <c r="C58" s="2240"/>
      <c r="D58" s="2240"/>
      <c r="E58" s="2240"/>
      <c r="F58" s="2240"/>
      <c r="G58" s="2241"/>
      <c r="H58" s="2240"/>
      <c r="I58" s="2240"/>
      <c r="J58" s="2240"/>
      <c r="K58" s="2240"/>
      <c r="L58" s="2240"/>
      <c r="M58" s="2240"/>
      <c r="N58" s="2240"/>
      <c r="O58" s="2240"/>
      <c r="P58" s="2240"/>
      <c r="Q58" s="2436">
        <v>19891.451271999998</v>
      </c>
      <c r="R58" s="2436">
        <v>11735.956250479998</v>
      </c>
      <c r="S58" s="2436">
        <v>8155.4950215199988</v>
      </c>
      <c r="T58" s="2436">
        <v>20746.783676695995</v>
      </c>
      <c r="U58" s="2436">
        <v>12240.602369250637</v>
      </c>
      <c r="V58" s="2436">
        <v>8506.1813074453585</v>
      </c>
      <c r="W58" s="2436">
        <v>21638.895374793923</v>
      </c>
      <c r="X58" s="2436">
        <v>12766.948271128414</v>
      </c>
      <c r="Y58" s="2436">
        <v>8871.9471036655086</v>
      </c>
      <c r="Z58" s="2864"/>
    </row>
    <row r="59" spans="1:29">
      <c r="B59" s="2049" t="s">
        <v>1258</v>
      </c>
      <c r="G59" s="2242"/>
      <c r="J59" s="2242"/>
      <c r="Q59" s="2436"/>
      <c r="R59" s="2436"/>
      <c r="S59" s="2436"/>
      <c r="T59" s="2436"/>
      <c r="U59" s="2436"/>
      <c r="V59" s="2436"/>
      <c r="W59" s="2436"/>
      <c r="X59" s="2436"/>
      <c r="Y59" s="2436"/>
      <c r="Z59" s="2436"/>
    </row>
    <row r="60" spans="1:29">
      <c r="B60" s="2049" t="s">
        <v>1262</v>
      </c>
    </row>
    <row r="61" spans="1:29" ht="47.25">
      <c r="A61" s="2243" t="s">
        <v>372</v>
      </c>
      <c r="B61" s="2244" t="s">
        <v>369</v>
      </c>
      <c r="C61" s="2245"/>
      <c r="D61" s="2245"/>
      <c r="E61" s="2245"/>
      <c r="F61" s="2245"/>
      <c r="G61" s="2245"/>
      <c r="H61" s="2245"/>
      <c r="I61" s="2245"/>
      <c r="J61" s="2245"/>
      <c r="K61" s="2245"/>
      <c r="L61" s="2245"/>
      <c r="M61" s="2245"/>
      <c r="N61" s="2245"/>
      <c r="O61" s="2245"/>
      <c r="P61" s="2245"/>
      <c r="Q61" s="2245"/>
      <c r="R61" s="2245"/>
      <c r="S61" s="2245"/>
      <c r="T61" s="2245"/>
      <c r="U61" s="2245"/>
      <c r="V61" s="2245"/>
      <c r="W61" s="2245"/>
      <c r="X61" s="2245"/>
      <c r="Y61" s="2245"/>
      <c r="Z61" s="2245"/>
    </row>
    <row r="62" spans="1:29">
      <c r="A62" s="2246"/>
      <c r="B62" s="2247" t="s">
        <v>29</v>
      </c>
      <c r="C62" s="2248"/>
      <c r="D62" s="2249">
        <v>0.57999999999999996</v>
      </c>
      <c r="E62" s="2249">
        <v>0.59</v>
      </c>
      <c r="F62" s="2249">
        <v>0.59</v>
      </c>
      <c r="G62" s="2249">
        <v>0.59</v>
      </c>
      <c r="H62" s="2249">
        <v>0.59</v>
      </c>
      <c r="I62" s="2249">
        <v>0.59</v>
      </c>
      <c r="J62" s="2249">
        <v>0.59</v>
      </c>
      <c r="K62" s="2249">
        <v>0.59</v>
      </c>
      <c r="L62" s="2249">
        <v>0.59</v>
      </c>
      <c r="M62" s="2249">
        <v>0.59</v>
      </c>
      <c r="N62" s="2249">
        <v>0.59</v>
      </c>
      <c r="O62" s="2249"/>
      <c r="P62" s="2249"/>
      <c r="Q62" s="2249"/>
      <c r="R62" s="2249"/>
      <c r="S62" s="2249"/>
      <c r="T62" s="2249"/>
      <c r="U62" s="2249"/>
      <c r="V62" s="2249"/>
      <c r="W62" s="2249"/>
      <c r="X62" s="2249"/>
      <c r="Y62" s="2249"/>
      <c r="Z62" s="2249"/>
      <c r="AA62" s="2863">
        <v>0.56299999999999994</v>
      </c>
    </row>
    <row r="63" spans="1:29">
      <c r="B63" s="2250" t="s">
        <v>370</v>
      </c>
      <c r="C63" s="2251"/>
      <c r="D63" s="2252">
        <v>0.42</v>
      </c>
      <c r="E63" s="2252">
        <v>0.41</v>
      </c>
      <c r="F63" s="2252">
        <v>0.41</v>
      </c>
      <c r="G63" s="2252">
        <v>0.41</v>
      </c>
      <c r="H63" s="2252">
        <v>0.41</v>
      </c>
      <c r="I63" s="2252">
        <v>0.41</v>
      </c>
      <c r="J63" s="2252">
        <v>0.41</v>
      </c>
      <c r="K63" s="2252">
        <v>0.41</v>
      </c>
      <c r="L63" s="2252">
        <v>0.41</v>
      </c>
      <c r="M63" s="2252">
        <v>0.41</v>
      </c>
      <c r="N63" s="2252">
        <v>0.41</v>
      </c>
      <c r="O63" s="2252"/>
      <c r="P63" s="2252"/>
      <c r="Q63" s="2252"/>
      <c r="R63" s="2252"/>
      <c r="S63" s="2252"/>
      <c r="T63" s="2252"/>
      <c r="U63" s="2252"/>
      <c r="V63" s="2252"/>
      <c r="W63" s="2252"/>
      <c r="X63" s="2252"/>
      <c r="Y63" s="2252"/>
      <c r="Z63" s="2252"/>
      <c r="AA63" s="2863">
        <v>0.34</v>
      </c>
    </row>
    <row r="64" spans="1:29" ht="47.25">
      <c r="A64" s="2243" t="s">
        <v>372</v>
      </c>
      <c r="B64" s="2244" t="s">
        <v>371</v>
      </c>
      <c r="C64" s="2245"/>
      <c r="D64" s="2245"/>
      <c r="E64" s="2245"/>
      <c r="F64" s="2245"/>
      <c r="G64" s="2245"/>
      <c r="H64" s="2245"/>
      <c r="I64" s="2245"/>
      <c r="J64" s="2245"/>
      <c r="K64" s="2245"/>
      <c r="L64" s="2245"/>
      <c r="M64" s="2245"/>
      <c r="N64" s="2245"/>
      <c r="O64" s="2245"/>
      <c r="P64" s="2245"/>
      <c r="Q64" s="2245"/>
      <c r="R64" s="2245"/>
      <c r="S64" s="2245"/>
      <c r="T64" s="2245"/>
      <c r="U64" s="2245"/>
      <c r="V64" s="2245"/>
      <c r="W64" s="2245"/>
      <c r="X64" s="2245"/>
      <c r="Y64" s="2245"/>
      <c r="Z64" s="2245"/>
    </row>
    <row r="65" spans="2:26">
      <c r="B65" s="2247" t="s">
        <v>29</v>
      </c>
      <c r="C65" s="2245"/>
      <c r="D65" s="2245"/>
      <c r="E65" s="2245"/>
      <c r="F65" s="2245"/>
      <c r="G65" s="2245"/>
      <c r="H65" s="2245"/>
      <c r="I65" s="2245"/>
      <c r="J65" s="2245"/>
      <c r="K65" s="2245"/>
      <c r="L65" s="2245"/>
      <c r="M65" s="2245"/>
      <c r="N65" s="2245"/>
      <c r="O65" s="2245"/>
      <c r="P65" s="2245"/>
      <c r="Q65" s="2245"/>
      <c r="R65" s="2245"/>
      <c r="S65" s="2245"/>
      <c r="T65" s="2245"/>
      <c r="U65" s="2245"/>
      <c r="V65" s="2245"/>
      <c r="W65" s="2245"/>
      <c r="X65" s="2245"/>
      <c r="Y65" s="2245"/>
      <c r="Z65" s="2245"/>
    </row>
    <row r="66" spans="2:26">
      <c r="B66" s="2250" t="s">
        <v>370</v>
      </c>
      <c r="C66" s="2245"/>
      <c r="D66" s="2245"/>
      <c r="E66" s="2245"/>
      <c r="F66" s="2245"/>
      <c r="G66" s="2245"/>
      <c r="H66" s="2245"/>
      <c r="I66" s="2245"/>
      <c r="J66" s="2245"/>
      <c r="K66" s="2245"/>
      <c r="L66" s="2245"/>
      <c r="M66" s="2245"/>
      <c r="N66" s="2245"/>
      <c r="O66" s="2245"/>
      <c r="P66" s="2245"/>
      <c r="Q66" s="2245"/>
      <c r="R66" s="2245"/>
      <c r="S66" s="2245"/>
      <c r="T66" s="2245"/>
      <c r="U66" s="2245"/>
      <c r="V66" s="2245"/>
      <c r="W66" s="2245"/>
      <c r="X66" s="2245"/>
      <c r="Y66" s="2245"/>
      <c r="Z66" s="2245"/>
    </row>
    <row r="68" spans="2:26" ht="47.25" customHeight="1">
      <c r="B68" s="1682" t="s">
        <v>1255</v>
      </c>
      <c r="C68" s="1682"/>
      <c r="D68" s="1682"/>
      <c r="E68" s="1682"/>
      <c r="I68" s="2253" t="s">
        <v>1256</v>
      </c>
      <c r="J68" s="2253"/>
      <c r="K68" s="2253"/>
      <c r="L68" s="2253"/>
      <c r="M68" s="2253"/>
    </row>
    <row r="69" spans="2:26" ht="34.5" customHeight="1">
      <c r="B69" s="1668" t="s">
        <v>1111</v>
      </c>
      <c r="C69" s="1668" t="s">
        <v>1251</v>
      </c>
      <c r="D69" s="1668" t="s">
        <v>1116</v>
      </c>
      <c r="E69" s="1668" t="s">
        <v>1117</v>
      </c>
    </row>
    <row r="70" spans="2:26" ht="88.5" customHeight="1">
      <c r="B70" s="1669">
        <v>26</v>
      </c>
      <c r="C70" s="1670" t="s">
        <v>1252</v>
      </c>
      <c r="D70" s="1671"/>
      <c r="E70" s="1671"/>
      <c r="I70" s="3525" t="s">
        <v>1257</v>
      </c>
      <c r="J70" s="3525"/>
      <c r="K70" s="3525"/>
      <c r="L70" s="3525"/>
      <c r="M70" s="3525"/>
      <c r="N70" s="2254" t="s">
        <v>1259</v>
      </c>
      <c r="O70" s="2254"/>
      <c r="P70" s="2254"/>
      <c r="Q70" s="2255" t="s">
        <v>280</v>
      </c>
      <c r="R70" s="2254" t="s">
        <v>1264</v>
      </c>
    </row>
    <row r="71" spans="2:26" ht="15.75">
      <c r="B71" s="1672"/>
      <c r="C71" s="1673">
        <v>2</v>
      </c>
      <c r="D71" s="1674">
        <v>397181.31</v>
      </c>
      <c r="E71" s="1675"/>
      <c r="I71" s="3520" t="s">
        <v>1218</v>
      </c>
      <c r="J71" s="3520"/>
      <c r="K71" s="3520"/>
      <c r="L71" s="3520"/>
      <c r="M71" s="3520"/>
      <c r="N71" s="2256">
        <v>344845.3</v>
      </c>
      <c r="O71" s="2256"/>
      <c r="P71" s="2256"/>
      <c r="Q71" s="2257">
        <v>100</v>
      </c>
      <c r="R71" s="2258">
        <f>(D81)/1000</f>
        <v>66856.418869999994</v>
      </c>
    </row>
    <row r="72" spans="2:26" ht="15.75">
      <c r="B72" s="1672"/>
      <c r="C72" s="1676">
        <v>10</v>
      </c>
      <c r="D72" s="1674">
        <v>1690898.9</v>
      </c>
      <c r="E72" s="1675"/>
      <c r="I72" s="3520" t="s">
        <v>1260</v>
      </c>
      <c r="J72" s="3520"/>
      <c r="K72" s="3520"/>
      <c r="L72" s="3520"/>
      <c r="M72" s="3520"/>
      <c r="N72" s="2259">
        <v>321866.8</v>
      </c>
      <c r="O72" s="2259"/>
      <c r="P72" s="2259"/>
      <c r="Q72" s="2260">
        <f>N72/N71*100</f>
        <v>93.336577300024089</v>
      </c>
      <c r="R72" s="2258">
        <f>R71*0.93</f>
        <v>62176.469549099995</v>
      </c>
    </row>
    <row r="73" spans="2:26" ht="15.75">
      <c r="B73" s="1672"/>
      <c r="C73" s="1676">
        <v>60</v>
      </c>
      <c r="D73" s="1674">
        <v>325517.21000000002</v>
      </c>
      <c r="E73" s="1675"/>
      <c r="I73" s="3520" t="s">
        <v>1261</v>
      </c>
      <c r="J73" s="3520"/>
      <c r="K73" s="3520"/>
      <c r="L73" s="3520"/>
      <c r="M73" s="3520"/>
      <c r="N73" s="2259">
        <f>N71-N72</f>
        <v>22978.5</v>
      </c>
      <c r="O73" s="2259"/>
      <c r="P73" s="2259"/>
      <c r="Q73" s="2261">
        <f>N73/N71</f>
        <v>6.663422699975903E-2</v>
      </c>
      <c r="R73" s="2258">
        <f>R71*0.07</f>
        <v>4679.9493209000002</v>
      </c>
    </row>
    <row r="74" spans="2:26">
      <c r="B74" s="1672"/>
      <c r="C74" s="1676">
        <v>68</v>
      </c>
      <c r="D74" s="1677">
        <v>402.23</v>
      </c>
      <c r="E74" s="1675"/>
      <c r="I74" s="2240"/>
      <c r="J74" s="2240"/>
      <c r="K74" s="2240"/>
      <c r="L74" s="2240"/>
      <c r="M74" s="2240"/>
      <c r="N74" s="2240"/>
      <c r="O74" s="2240"/>
      <c r="P74" s="2240"/>
      <c r="Q74" s="2240"/>
    </row>
    <row r="75" spans="2:26">
      <c r="B75" s="1672"/>
      <c r="C75" s="1676">
        <v>69</v>
      </c>
      <c r="D75" s="1674">
        <v>11655775.84</v>
      </c>
      <c r="E75" s="1675"/>
      <c r="I75" s="2240"/>
      <c r="J75" s="2240"/>
      <c r="K75" s="2240"/>
      <c r="L75" s="2240"/>
      <c r="M75" s="2240"/>
      <c r="N75" s="2240"/>
      <c r="O75" s="2240"/>
      <c r="P75" s="2240"/>
      <c r="Q75" s="2240"/>
    </row>
    <row r="76" spans="2:26">
      <c r="B76" s="1672"/>
      <c r="C76" s="1676">
        <v>70</v>
      </c>
      <c r="D76" s="1674">
        <v>41394533.93</v>
      </c>
      <c r="E76" s="1675"/>
    </row>
    <row r="77" spans="2:26">
      <c r="B77" s="1672"/>
      <c r="C77" s="1676">
        <v>71</v>
      </c>
      <c r="D77" s="1674">
        <v>251374.75</v>
      </c>
      <c r="E77" s="1675"/>
    </row>
    <row r="78" spans="2:26">
      <c r="B78" s="1672"/>
      <c r="C78" s="1676">
        <v>76</v>
      </c>
      <c r="D78" s="1674">
        <v>10928428.42</v>
      </c>
      <c r="E78" s="1675"/>
    </row>
    <row r="79" spans="2:26">
      <c r="B79" s="1672"/>
      <c r="C79" s="1676">
        <v>90</v>
      </c>
      <c r="D79" s="1675"/>
      <c r="E79" s="1674">
        <v>66856418.869999997</v>
      </c>
    </row>
    <row r="80" spans="2:26">
      <c r="B80" s="1672"/>
      <c r="C80" s="1676">
        <v>97</v>
      </c>
      <c r="D80" s="1674">
        <v>212306.28</v>
      </c>
      <c r="E80" s="1675"/>
    </row>
    <row r="81" spans="2:5">
      <c r="B81" s="1678"/>
      <c r="C81" s="1679" t="s">
        <v>1253</v>
      </c>
      <c r="D81" s="1680">
        <v>66856418.869999997</v>
      </c>
      <c r="E81" s="1680">
        <v>66856418.869999997</v>
      </c>
    </row>
    <row r="82" spans="2:5" ht="25.5">
      <c r="B82" s="1678"/>
      <c r="C82" s="1679" t="s">
        <v>1254</v>
      </c>
      <c r="D82" s="1681"/>
      <c r="E82" s="1681"/>
    </row>
  </sheetData>
  <mergeCells count="19">
    <mergeCell ref="Z5:AB5"/>
    <mergeCell ref="Z4:AB4"/>
    <mergeCell ref="A2:Y3"/>
    <mergeCell ref="A4:A6"/>
    <mergeCell ref="B4:B6"/>
    <mergeCell ref="C4:C6"/>
    <mergeCell ref="D4:G4"/>
    <mergeCell ref="I4:Y4"/>
    <mergeCell ref="D5:G5"/>
    <mergeCell ref="I5:K5"/>
    <mergeCell ref="L5:N5"/>
    <mergeCell ref="Q5:S5"/>
    <mergeCell ref="I73:M73"/>
    <mergeCell ref="T5:V5"/>
    <mergeCell ref="W5:Y5"/>
    <mergeCell ref="A22:A39"/>
    <mergeCell ref="I70:M70"/>
    <mergeCell ref="I71:M71"/>
    <mergeCell ref="I72:M72"/>
  </mergeCells>
  <pageMargins left="0.74803149606299213" right="0.19685039370078741" top="0.98425196850393704" bottom="0.47244094488188976" header="0.51181102362204722" footer="0.51181102362204722"/>
  <pageSetup paperSize="9" scale="46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M40"/>
  <sheetViews>
    <sheetView topLeftCell="A13" workbookViewId="0">
      <selection activeCell="J24" sqref="J24"/>
    </sheetView>
  </sheetViews>
  <sheetFormatPr defaultRowHeight="15"/>
  <cols>
    <col min="2" max="2" width="30" customWidth="1"/>
    <col min="3" max="3" width="21.5703125" customWidth="1"/>
    <col min="5" max="5" width="10.42578125" bestFit="1" customWidth="1"/>
    <col min="6" max="6" width="9.85546875" customWidth="1"/>
    <col min="7" max="7" width="10.85546875" customWidth="1"/>
    <col min="8" max="8" width="11.28515625" customWidth="1"/>
    <col min="9" max="11" width="12.28515625" customWidth="1"/>
    <col min="12" max="12" width="11" hidden="1" customWidth="1"/>
  </cols>
  <sheetData>
    <row r="2" spans="1:12">
      <c r="G2" s="3457" t="s">
        <v>296</v>
      </c>
      <c r="H2" s="3457"/>
      <c r="I2" s="3457"/>
      <c r="J2" s="3457"/>
      <c r="K2" s="3457"/>
      <c r="L2" s="3457"/>
    </row>
    <row r="3" spans="1:12">
      <c r="G3" s="3457" t="s">
        <v>169</v>
      </c>
      <c r="H3" s="3457"/>
      <c r="I3" s="3457"/>
      <c r="J3" s="3457"/>
      <c r="K3" s="3457"/>
      <c r="L3" s="3457"/>
    </row>
    <row r="4" spans="1:12">
      <c r="G4" s="58" t="s">
        <v>294</v>
      </c>
      <c r="H4" s="106"/>
      <c r="I4" s="106"/>
      <c r="J4" s="992"/>
      <c r="K4" s="992"/>
      <c r="L4" s="106"/>
    </row>
    <row r="5" spans="1:12">
      <c r="G5" s="3457" t="s">
        <v>170</v>
      </c>
      <c r="H5" s="3457"/>
      <c r="I5" s="3457"/>
      <c r="J5" s="3457"/>
      <c r="K5" s="3457"/>
      <c r="L5" s="3457"/>
    </row>
    <row r="6" spans="1:12">
      <c r="G6" s="106"/>
      <c r="H6" s="106"/>
      <c r="I6" s="106"/>
      <c r="J6" s="992"/>
      <c r="K6" s="992"/>
      <c r="L6" s="106"/>
    </row>
    <row r="7" spans="1:12" ht="15.75" thickBot="1">
      <c r="A7" s="57" t="s">
        <v>297</v>
      </c>
    </row>
    <row r="8" spans="1:12" ht="15.75" thickBot="1">
      <c r="A8" s="3389" t="s">
        <v>0</v>
      </c>
      <c r="B8" s="3389" t="s">
        <v>1</v>
      </c>
      <c r="C8" s="1164"/>
      <c r="D8" s="3389" t="s">
        <v>2</v>
      </c>
      <c r="E8" s="3432" t="s">
        <v>165</v>
      </c>
      <c r="F8" s="3433"/>
      <c r="G8" s="3433"/>
      <c r="H8" s="3433"/>
      <c r="I8" s="3548"/>
      <c r="J8" s="1170"/>
      <c r="K8" s="1170"/>
      <c r="L8" s="1167" t="s">
        <v>166</v>
      </c>
    </row>
    <row r="9" spans="1:12" ht="15.75" customHeight="1" thickBot="1">
      <c r="A9" s="3401"/>
      <c r="B9" s="3401"/>
      <c r="C9" s="1165"/>
      <c r="D9" s="3401"/>
      <c r="E9" s="3458" t="s">
        <v>1103</v>
      </c>
      <c r="F9" s="3458"/>
      <c r="G9" s="3418" t="s">
        <v>1314</v>
      </c>
      <c r="H9" s="3419"/>
      <c r="I9" s="3387" t="s">
        <v>956</v>
      </c>
      <c r="J9" s="3549" t="s">
        <v>957</v>
      </c>
      <c r="K9" s="3495" t="s">
        <v>1312</v>
      </c>
      <c r="L9" s="3495" t="s">
        <v>167</v>
      </c>
    </row>
    <row r="10" spans="1:12" ht="108" customHeight="1" thickBot="1">
      <c r="A10" s="3390"/>
      <c r="B10" s="3390"/>
      <c r="C10" s="1166"/>
      <c r="D10" s="3390"/>
      <c r="E10" s="1168" t="s">
        <v>5</v>
      </c>
      <c r="F10" s="4" t="s">
        <v>6</v>
      </c>
      <c r="G10" s="541" t="s">
        <v>1313</v>
      </c>
      <c r="H10" s="4" t="s">
        <v>8</v>
      </c>
      <c r="I10" s="3388"/>
      <c r="J10" s="3550"/>
      <c r="K10" s="3496"/>
      <c r="L10" s="3496"/>
    </row>
    <row r="11" spans="1:12" ht="15.75" thickBot="1">
      <c r="A11" s="504">
        <v>1</v>
      </c>
      <c r="B11" s="1169">
        <v>2</v>
      </c>
      <c r="C11" s="49"/>
      <c r="D11" s="49">
        <v>3</v>
      </c>
      <c r="E11" s="32">
        <v>4</v>
      </c>
      <c r="F11" s="1146">
        <v>5</v>
      </c>
      <c r="G11" s="32">
        <v>6</v>
      </c>
      <c r="H11" s="1146">
        <v>7</v>
      </c>
      <c r="I11" s="1147">
        <v>8</v>
      </c>
      <c r="J11" s="1169"/>
      <c r="K11" s="1178"/>
      <c r="L11" s="1171">
        <v>9</v>
      </c>
    </row>
    <row r="12" spans="1:12" ht="30.75" thickBot="1">
      <c r="A12" s="20">
        <v>1</v>
      </c>
      <c r="B12" s="966" t="s">
        <v>298</v>
      </c>
      <c r="C12" s="1151"/>
      <c r="D12" s="1151" t="s">
        <v>11</v>
      </c>
      <c r="E12" s="1152">
        <f t="shared" ref="E12:L12" si="0">E13+E16</f>
        <v>0</v>
      </c>
      <c r="F12" s="1152">
        <f t="shared" si="0"/>
        <v>93641.3</v>
      </c>
      <c r="G12" s="1152">
        <f t="shared" si="0"/>
        <v>0</v>
      </c>
      <c r="H12" s="1153">
        <f t="shared" si="0"/>
        <v>0</v>
      </c>
      <c r="I12" s="1154">
        <f t="shared" si="0"/>
        <v>0</v>
      </c>
      <c r="J12" s="1154">
        <f t="shared" si="0"/>
        <v>0</v>
      </c>
      <c r="K12" s="1156">
        <f t="shared" si="0"/>
        <v>0</v>
      </c>
      <c r="L12" s="1172">
        <f t="shared" si="0"/>
        <v>0</v>
      </c>
    </row>
    <row r="13" spans="1:12">
      <c r="A13" s="1148" t="s">
        <v>10</v>
      </c>
      <c r="B13" s="1149" t="s">
        <v>299</v>
      </c>
      <c r="C13" s="3554" t="s">
        <v>455</v>
      </c>
      <c r="D13" s="1150" t="s">
        <v>11</v>
      </c>
      <c r="E13" s="3551">
        <v>0</v>
      </c>
      <c r="F13" s="3546">
        <v>86203.1</v>
      </c>
      <c r="G13" s="3551"/>
      <c r="H13" s="3546"/>
      <c r="I13" s="3536"/>
      <c r="J13" s="3542"/>
      <c r="K13" s="3545"/>
      <c r="L13" s="3539"/>
    </row>
    <row r="14" spans="1:12">
      <c r="A14" s="521" t="s">
        <v>18</v>
      </c>
      <c r="B14" s="60" t="s">
        <v>300</v>
      </c>
      <c r="C14" s="3554"/>
      <c r="D14" s="514" t="s">
        <v>11</v>
      </c>
      <c r="E14" s="3551"/>
      <c r="F14" s="3546"/>
      <c r="G14" s="3551"/>
      <c r="H14" s="3546"/>
      <c r="I14" s="3537"/>
      <c r="J14" s="3543"/>
      <c r="K14" s="3546"/>
      <c r="L14" s="3540"/>
    </row>
    <row r="15" spans="1:12" ht="15.75" thickBot="1">
      <c r="A15" s="522" t="s">
        <v>30</v>
      </c>
      <c r="B15" s="523" t="s">
        <v>301</v>
      </c>
      <c r="C15" s="3555"/>
      <c r="D15" s="524" t="s">
        <v>11</v>
      </c>
      <c r="E15" s="3552"/>
      <c r="F15" s="3547"/>
      <c r="G15" s="3552"/>
      <c r="H15" s="3547"/>
      <c r="I15" s="3538"/>
      <c r="J15" s="3544"/>
      <c r="K15" s="3547"/>
      <c r="L15" s="3541"/>
    </row>
    <row r="16" spans="1:12" ht="30">
      <c r="A16" s="518" t="s">
        <v>255</v>
      </c>
      <c r="B16" s="519" t="s">
        <v>302</v>
      </c>
      <c r="C16" s="3556" t="s">
        <v>370</v>
      </c>
      <c r="D16" s="520" t="s">
        <v>11</v>
      </c>
      <c r="E16" s="3553">
        <v>0</v>
      </c>
      <c r="F16" s="3545">
        <v>7438.2</v>
      </c>
      <c r="G16" s="3553"/>
      <c r="H16" s="3545"/>
      <c r="I16" s="3536"/>
      <c r="J16" s="3542"/>
      <c r="K16" s="3545"/>
      <c r="L16" s="3539"/>
    </row>
    <row r="17" spans="1:13">
      <c r="A17" s="521" t="s">
        <v>40</v>
      </c>
      <c r="B17" s="60" t="s">
        <v>303</v>
      </c>
      <c r="C17" s="3554"/>
      <c r="D17" s="514" t="s">
        <v>11</v>
      </c>
      <c r="E17" s="3551"/>
      <c r="F17" s="3546"/>
      <c r="G17" s="3551"/>
      <c r="H17" s="3546"/>
      <c r="I17" s="3537"/>
      <c r="J17" s="3543"/>
      <c r="K17" s="3546"/>
      <c r="L17" s="3540"/>
    </row>
    <row r="18" spans="1:13" ht="30.75" thickBot="1">
      <c r="A18" s="522" t="s">
        <v>41</v>
      </c>
      <c r="B18" s="523" t="s">
        <v>304</v>
      </c>
      <c r="C18" s="3555"/>
      <c r="D18" s="524" t="s">
        <v>11</v>
      </c>
      <c r="E18" s="3552"/>
      <c r="F18" s="3547"/>
      <c r="G18" s="3552"/>
      <c r="H18" s="3547"/>
      <c r="I18" s="3538"/>
      <c r="J18" s="3544"/>
      <c r="K18" s="3547"/>
      <c r="L18" s="3541"/>
    </row>
    <row r="19" spans="1:13" ht="15.75" thickBot="1">
      <c r="A19" s="535" t="s">
        <v>42</v>
      </c>
      <c r="B19" s="164" t="s">
        <v>305</v>
      </c>
      <c r="C19" s="525"/>
      <c r="D19" s="525" t="s">
        <v>11</v>
      </c>
      <c r="E19" s="528"/>
      <c r="F19" s="529"/>
      <c r="G19" s="528"/>
      <c r="H19" s="529"/>
      <c r="I19" s="1140"/>
      <c r="J19" s="1158"/>
      <c r="K19" s="1173"/>
      <c r="L19" s="1173"/>
    </row>
    <row r="20" spans="1:13" ht="30.75" thickBot="1">
      <c r="A20" s="20" t="s">
        <v>50</v>
      </c>
      <c r="B20" s="966" t="s">
        <v>306</v>
      </c>
      <c r="C20" s="966"/>
      <c r="D20" s="966" t="s">
        <v>11</v>
      </c>
      <c r="E20" s="1155">
        <f>SUM(E21:E38)</f>
        <v>0</v>
      </c>
      <c r="F20" s="1155">
        <f t="shared" ref="F20:L20" si="1">SUM(F21:F38)</f>
        <v>93641.299999999988</v>
      </c>
      <c r="G20" s="1155">
        <f t="shared" si="1"/>
        <v>0</v>
      </c>
      <c r="H20" s="1155">
        <f t="shared" si="1"/>
        <v>0</v>
      </c>
      <c r="I20" s="1155">
        <f t="shared" si="1"/>
        <v>60427.040000000008</v>
      </c>
      <c r="J20" s="1155">
        <f t="shared" si="1"/>
        <v>50000</v>
      </c>
      <c r="K20" s="1153">
        <f t="shared" si="1"/>
        <v>30000</v>
      </c>
      <c r="L20" s="1172">
        <f t="shared" si="1"/>
        <v>0</v>
      </c>
      <c r="M20" s="56"/>
    </row>
    <row r="21" spans="1:13">
      <c r="A21" s="1148" t="s">
        <v>52</v>
      </c>
      <c r="B21" s="1159" t="s">
        <v>104</v>
      </c>
      <c r="C21" s="1160"/>
      <c r="D21" s="525" t="s">
        <v>11</v>
      </c>
      <c r="E21" s="1800">
        <v>0</v>
      </c>
      <c r="F21" s="1801"/>
      <c r="G21" s="1796"/>
      <c r="H21" s="1161"/>
      <c r="I21" s="1162">
        <f>10000+20000</f>
        <v>30000</v>
      </c>
      <c r="J21" s="1157">
        <f>10000+20000</f>
        <v>30000</v>
      </c>
      <c r="K21" s="1174">
        <f>10000+20000</f>
        <v>30000</v>
      </c>
      <c r="L21" s="1174"/>
      <c r="M21" s="56"/>
    </row>
    <row r="22" spans="1:13">
      <c r="A22" s="521" t="s">
        <v>197</v>
      </c>
      <c r="B22" s="44" t="s">
        <v>307</v>
      </c>
      <c r="C22" s="516"/>
      <c r="D22" s="515" t="s">
        <v>11</v>
      </c>
      <c r="E22" s="527"/>
      <c r="F22" s="526"/>
      <c r="G22" s="1797"/>
      <c r="H22" s="526"/>
      <c r="I22" s="1141"/>
      <c r="J22" s="1144"/>
      <c r="K22" s="1175"/>
      <c r="L22" s="1175"/>
      <c r="M22" s="56"/>
    </row>
    <row r="23" spans="1:13">
      <c r="A23" s="521" t="s">
        <v>54</v>
      </c>
      <c r="B23" s="44" t="s">
        <v>958</v>
      </c>
      <c r="C23" s="516"/>
      <c r="D23" s="515" t="s">
        <v>11</v>
      </c>
      <c r="E23" s="527"/>
      <c r="F23" s="526"/>
      <c r="G23" s="1797"/>
      <c r="H23" s="526">
        <f>H24+H25</f>
        <v>0</v>
      </c>
      <c r="I23" s="526">
        <f t="shared" ref="I23:K23" si="2">I24+I25</f>
        <v>15213.52</v>
      </c>
      <c r="J23" s="526">
        <f t="shared" si="2"/>
        <v>10000</v>
      </c>
      <c r="K23" s="526">
        <f t="shared" si="2"/>
        <v>0</v>
      </c>
      <c r="L23" s="1175"/>
      <c r="M23" s="56"/>
    </row>
    <row r="24" spans="1:13">
      <c r="A24" s="521"/>
      <c r="B24" s="44" t="s">
        <v>455</v>
      </c>
      <c r="C24" s="516"/>
      <c r="D24" s="515" t="s">
        <v>11</v>
      </c>
      <c r="E24" s="527"/>
      <c r="F24" s="526"/>
      <c r="G24" s="1797"/>
      <c r="H24" s="526"/>
      <c r="I24" s="1793">
        <v>10600</v>
      </c>
      <c r="J24" s="1794">
        <v>10000</v>
      </c>
      <c r="K24" s="1795">
        <v>0</v>
      </c>
      <c r="L24" s="1175"/>
      <c r="M24" s="56"/>
    </row>
    <row r="25" spans="1:13">
      <c r="A25" s="521"/>
      <c r="B25" s="44" t="s">
        <v>370</v>
      </c>
      <c r="C25" s="516"/>
      <c r="D25" s="515" t="s">
        <v>11</v>
      </c>
      <c r="E25" s="527"/>
      <c r="F25" s="526"/>
      <c r="G25" s="1797"/>
      <c r="H25" s="526"/>
      <c r="I25" s="1793">
        <v>4613.5200000000004</v>
      </c>
      <c r="J25" s="1794">
        <v>0</v>
      </c>
      <c r="K25" s="1795">
        <v>0</v>
      </c>
      <c r="L25" s="1175"/>
      <c r="M25" s="56"/>
    </row>
    <row r="26" spans="1:13">
      <c r="A26" s="521" t="s">
        <v>206</v>
      </c>
      <c r="B26" s="44" t="s">
        <v>309</v>
      </c>
      <c r="C26" s="516"/>
      <c r="D26" s="515" t="s">
        <v>11</v>
      </c>
      <c r="E26" s="527"/>
      <c r="F26" s="526"/>
      <c r="G26" s="1797"/>
      <c r="H26" s="526"/>
      <c r="I26" s="1141"/>
      <c r="J26" s="1144"/>
      <c r="K26" s="1175"/>
      <c r="L26" s="1175"/>
      <c r="M26" s="56"/>
    </row>
    <row r="27" spans="1:13">
      <c r="A27" s="521" t="s">
        <v>56</v>
      </c>
      <c r="B27" s="60" t="s">
        <v>310</v>
      </c>
      <c r="C27" s="515"/>
      <c r="D27" s="515" t="s">
        <v>11</v>
      </c>
      <c r="E27" s="527"/>
      <c r="F27" s="526"/>
      <c r="G27" s="1797"/>
      <c r="H27" s="526"/>
      <c r="I27" s="1141"/>
      <c r="J27" s="1144"/>
      <c r="K27" s="1175"/>
      <c r="L27" s="1175"/>
      <c r="M27" s="56"/>
    </row>
    <row r="28" spans="1:13">
      <c r="A28" s="521" t="s">
        <v>261</v>
      </c>
      <c r="B28" s="60" t="s">
        <v>311</v>
      </c>
      <c r="C28" s="515"/>
      <c r="D28" s="515" t="s">
        <v>11</v>
      </c>
      <c r="E28" s="527"/>
      <c r="F28" s="526"/>
      <c r="G28" s="1797"/>
      <c r="H28" s="526"/>
      <c r="I28" s="1141"/>
      <c r="J28" s="1144"/>
      <c r="K28" s="1175"/>
      <c r="L28" s="1175"/>
      <c r="M28" s="56"/>
    </row>
    <row r="29" spans="1:13">
      <c r="A29" s="537" t="s">
        <v>312</v>
      </c>
      <c r="B29" s="60" t="s">
        <v>313</v>
      </c>
      <c r="C29" s="515"/>
      <c r="D29" s="515" t="s">
        <v>11</v>
      </c>
      <c r="E29" s="527"/>
      <c r="F29" s="526">
        <v>926.7</v>
      </c>
      <c r="G29" s="1797"/>
      <c r="H29" s="526"/>
      <c r="I29" s="1141"/>
      <c r="J29" s="1144"/>
      <c r="K29" s="1175"/>
      <c r="L29" s="1175"/>
      <c r="M29" s="56"/>
    </row>
    <row r="30" spans="1:13">
      <c r="A30" s="537" t="s">
        <v>314</v>
      </c>
      <c r="B30" s="60" t="s">
        <v>315</v>
      </c>
      <c r="C30" s="515"/>
      <c r="D30" s="515" t="s">
        <v>11</v>
      </c>
      <c r="E30" s="527"/>
      <c r="F30" s="526"/>
      <c r="G30" s="1797">
        <v>0</v>
      </c>
      <c r="H30" s="526"/>
      <c r="I30" s="1141"/>
      <c r="J30" s="1144"/>
      <c r="K30" s="1175"/>
      <c r="L30" s="1175"/>
      <c r="M30" s="56"/>
    </row>
    <row r="31" spans="1:13">
      <c r="A31" s="537" t="s">
        <v>316</v>
      </c>
      <c r="B31" s="60" t="s">
        <v>317</v>
      </c>
      <c r="C31" s="515"/>
      <c r="D31" s="515" t="s">
        <v>11</v>
      </c>
      <c r="E31" s="527"/>
      <c r="F31" s="526"/>
      <c r="G31" s="1797">
        <v>0</v>
      </c>
      <c r="H31" s="526"/>
      <c r="I31" s="1141"/>
      <c r="J31" s="1144"/>
      <c r="K31" s="1175"/>
      <c r="L31" s="1175"/>
      <c r="M31" s="56"/>
    </row>
    <row r="32" spans="1:13">
      <c r="A32" s="537" t="s">
        <v>90</v>
      </c>
      <c r="B32" s="60" t="s">
        <v>318</v>
      </c>
      <c r="C32" s="60"/>
      <c r="D32" s="515" t="s">
        <v>11</v>
      </c>
      <c r="E32" s="527"/>
      <c r="F32" s="526">
        <f>4589.7+6511.5</f>
        <v>11101.2</v>
      </c>
      <c r="G32" s="1797">
        <v>0</v>
      </c>
      <c r="H32" s="526"/>
      <c r="I32" s="1141"/>
      <c r="J32" s="1144"/>
      <c r="K32" s="1175"/>
      <c r="L32" s="1175"/>
      <c r="M32" s="56"/>
    </row>
    <row r="33" spans="1:13" ht="30">
      <c r="A33" s="537" t="s">
        <v>292</v>
      </c>
      <c r="B33" s="60" t="s">
        <v>632</v>
      </c>
      <c r="C33" s="60"/>
      <c r="D33" s="514" t="s">
        <v>11</v>
      </c>
      <c r="E33" s="527"/>
      <c r="F33" s="526">
        <v>79259.399999999994</v>
      </c>
      <c r="G33" s="1797">
        <v>0</v>
      </c>
      <c r="H33" s="1144"/>
      <c r="I33" s="1144"/>
      <c r="J33" s="1144"/>
      <c r="K33" s="1175"/>
      <c r="L33" s="1175"/>
      <c r="M33" s="56"/>
    </row>
    <row r="34" spans="1:13">
      <c r="A34" s="537"/>
      <c r="B34" s="60" t="s">
        <v>1315</v>
      </c>
      <c r="C34" s="60"/>
      <c r="D34" s="60"/>
      <c r="E34" s="1797"/>
      <c r="F34" s="526">
        <v>2354</v>
      </c>
      <c r="G34" s="1797"/>
      <c r="H34" s="526"/>
      <c r="I34" s="1141"/>
      <c r="J34" s="1144"/>
      <c r="K34" s="1175"/>
      <c r="L34" s="1175"/>
      <c r="M34" s="56"/>
    </row>
    <row r="35" spans="1:13" ht="30">
      <c r="A35" s="537" t="s">
        <v>62</v>
      </c>
      <c r="B35" s="60" t="s">
        <v>319</v>
      </c>
      <c r="C35" s="515"/>
      <c r="D35" s="515" t="s">
        <v>11</v>
      </c>
      <c r="E35" s="527"/>
      <c r="F35" s="526"/>
      <c r="G35" s="1797"/>
      <c r="H35" s="526"/>
      <c r="I35" s="1141"/>
      <c r="J35" s="1144"/>
      <c r="K35" s="1175"/>
      <c r="L35" s="1175"/>
      <c r="M35" s="56"/>
    </row>
    <row r="36" spans="1:13">
      <c r="A36" s="538" t="s">
        <v>64</v>
      </c>
      <c r="B36" s="1" t="s">
        <v>104</v>
      </c>
      <c r="C36" s="517"/>
      <c r="D36" s="515" t="s">
        <v>11</v>
      </c>
      <c r="E36" s="530"/>
      <c r="F36" s="531"/>
      <c r="G36" s="1798"/>
      <c r="H36" s="531"/>
      <c r="I36" s="1142"/>
      <c r="J36" s="1145"/>
      <c r="K36" s="1176"/>
      <c r="L36" s="1176"/>
      <c r="M36" s="56"/>
    </row>
    <row r="37" spans="1:13">
      <c r="A37" s="538" t="s">
        <v>80</v>
      </c>
      <c r="B37" s="1" t="s">
        <v>308</v>
      </c>
      <c r="C37" s="517"/>
      <c r="D37" s="515" t="s">
        <v>11</v>
      </c>
      <c r="E37" s="530"/>
      <c r="F37" s="531"/>
      <c r="G37" s="1798"/>
      <c r="H37" s="531"/>
      <c r="I37" s="1142"/>
      <c r="J37" s="1145"/>
      <c r="K37" s="1176"/>
      <c r="L37" s="1176"/>
      <c r="M37" s="56"/>
    </row>
    <row r="38" spans="1:13" ht="15.75" thickBot="1">
      <c r="A38" s="539" t="s">
        <v>99</v>
      </c>
      <c r="B38" s="540" t="s">
        <v>320</v>
      </c>
      <c r="C38" s="223"/>
      <c r="D38" s="524" t="s">
        <v>11</v>
      </c>
      <c r="E38" s="532"/>
      <c r="F38" s="533"/>
      <c r="G38" s="1799"/>
      <c r="H38" s="533"/>
      <c r="I38" s="1143"/>
      <c r="J38" s="1163"/>
      <c r="K38" s="1177"/>
      <c r="L38" s="1177"/>
      <c r="M38" s="56"/>
    </row>
    <row r="39" spans="1:13">
      <c r="A39" s="122"/>
    </row>
    <row r="40" spans="1:13">
      <c r="A40" s="122"/>
    </row>
  </sheetData>
  <mergeCells count="31">
    <mergeCell ref="H13:H15"/>
    <mergeCell ref="H16:H18"/>
    <mergeCell ref="G13:G15"/>
    <mergeCell ref="G16:G18"/>
    <mergeCell ref="C13:C15"/>
    <mergeCell ref="C16:C18"/>
    <mergeCell ref="E13:E15"/>
    <mergeCell ref="F13:F15"/>
    <mergeCell ref="E16:E18"/>
    <mergeCell ref="F16:F18"/>
    <mergeCell ref="G2:L2"/>
    <mergeCell ref="G3:L3"/>
    <mergeCell ref="G5:L5"/>
    <mergeCell ref="A8:A10"/>
    <mergeCell ref="B8:B10"/>
    <mergeCell ref="D8:D10"/>
    <mergeCell ref="E8:I8"/>
    <mergeCell ref="E9:F9"/>
    <mergeCell ref="G9:H9"/>
    <mergeCell ref="I9:I10"/>
    <mergeCell ref="J9:J10"/>
    <mergeCell ref="K9:K10"/>
    <mergeCell ref="I13:I15"/>
    <mergeCell ref="I16:I18"/>
    <mergeCell ref="L13:L15"/>
    <mergeCell ref="L16:L18"/>
    <mergeCell ref="L9:L10"/>
    <mergeCell ref="J13:J15"/>
    <mergeCell ref="K13:K15"/>
    <mergeCell ref="J16:J18"/>
    <mergeCell ref="K16:K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M54"/>
  <sheetViews>
    <sheetView workbookViewId="0">
      <selection activeCell="H13" sqref="H13"/>
    </sheetView>
  </sheetViews>
  <sheetFormatPr defaultRowHeight="15"/>
  <cols>
    <col min="2" max="2" width="30.140625" customWidth="1"/>
  </cols>
  <sheetData>
    <row r="3" spans="1:12">
      <c r="F3" s="3457" t="s">
        <v>296</v>
      </c>
      <c r="G3" s="3457"/>
      <c r="H3" s="3457"/>
      <c r="I3" s="3457"/>
    </row>
    <row r="4" spans="1:12">
      <c r="F4" s="3457" t="s">
        <v>169</v>
      </c>
      <c r="G4" s="3457"/>
      <c r="H4" s="3457"/>
      <c r="I4" s="3457"/>
    </row>
    <row r="5" spans="1:12">
      <c r="F5" s="58" t="s">
        <v>294</v>
      </c>
      <c r="G5" s="106"/>
      <c r="H5" s="106"/>
      <c r="I5" s="106"/>
    </row>
    <row r="6" spans="1:12">
      <c r="F6" s="3457" t="s">
        <v>170</v>
      </c>
      <c r="G6" s="3457"/>
      <c r="H6" s="3457"/>
      <c r="I6" s="3457"/>
    </row>
    <row r="7" spans="1:12">
      <c r="F7" s="106"/>
      <c r="G7" s="106"/>
      <c r="H7" s="106"/>
      <c r="I7" s="106"/>
    </row>
    <row r="8" spans="1:12" ht="15.75" thickBot="1">
      <c r="A8" s="57" t="s">
        <v>297</v>
      </c>
    </row>
    <row r="9" spans="1:12">
      <c r="A9" s="3389" t="s">
        <v>0</v>
      </c>
      <c r="B9" s="3389" t="s">
        <v>1</v>
      </c>
      <c r="C9" s="3389" t="s">
        <v>2</v>
      </c>
      <c r="D9" s="3387" t="s">
        <v>3</v>
      </c>
      <c r="E9" s="3495"/>
      <c r="F9" s="3458" t="s">
        <v>4</v>
      </c>
      <c r="G9" s="3458"/>
      <c r="H9" s="3389">
        <v>2015</v>
      </c>
      <c r="I9" s="3389">
        <v>2016</v>
      </c>
      <c r="J9" s="3389">
        <v>2017</v>
      </c>
      <c r="K9" s="3389" t="s">
        <v>321</v>
      </c>
      <c r="L9" s="3389" t="s">
        <v>322</v>
      </c>
    </row>
    <row r="10" spans="1:12" ht="15.75" customHeight="1" thickBot="1">
      <c r="A10" s="3401"/>
      <c r="B10" s="3401"/>
      <c r="C10" s="3401"/>
      <c r="D10" s="3388"/>
      <c r="E10" s="3496"/>
      <c r="F10" s="3557"/>
      <c r="G10" s="3557"/>
      <c r="H10" s="3401"/>
      <c r="I10" s="3401"/>
      <c r="J10" s="3401"/>
      <c r="K10" s="3401"/>
      <c r="L10" s="3401"/>
    </row>
    <row r="11" spans="1:12" ht="15.75" thickBot="1">
      <c r="A11" s="3390"/>
      <c r="B11" s="3390"/>
      <c r="C11" s="3390"/>
      <c r="D11" s="48" t="s">
        <v>5</v>
      </c>
      <c r="E11" s="4" t="s">
        <v>6</v>
      </c>
      <c r="F11" s="4" t="s">
        <v>7</v>
      </c>
      <c r="G11" s="105" t="s">
        <v>8</v>
      </c>
      <c r="H11" s="3390"/>
      <c r="I11" s="3390"/>
      <c r="J11" s="3390"/>
      <c r="K11" s="3390"/>
      <c r="L11" s="3390"/>
    </row>
    <row r="12" spans="1:12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26">
        <v>9</v>
      </c>
      <c r="J12" s="26">
        <v>9</v>
      </c>
      <c r="K12" s="26">
        <v>9</v>
      </c>
      <c r="L12" s="26">
        <v>9</v>
      </c>
    </row>
    <row r="13" spans="1:12" ht="25.5" customHeight="1">
      <c r="A13" s="86">
        <v>1</v>
      </c>
      <c r="B13" s="1" t="s">
        <v>323</v>
      </c>
      <c r="C13" s="1"/>
      <c r="D13" s="1"/>
      <c r="E13" s="1"/>
      <c r="F13" s="1"/>
      <c r="G13" s="1"/>
      <c r="H13" s="347">
        <v>1.046</v>
      </c>
      <c r="I13" s="347">
        <v>1.0449999999999999</v>
      </c>
      <c r="J13" s="347">
        <v>1.0429999999999999</v>
      </c>
      <c r="K13" s="1"/>
      <c r="L13" s="1"/>
    </row>
    <row r="14" spans="1:12" ht="30">
      <c r="A14" s="86" t="s">
        <v>50</v>
      </c>
      <c r="B14" s="60" t="s">
        <v>324</v>
      </c>
      <c r="C14" s="1"/>
      <c r="D14" s="1"/>
      <c r="E14" s="1"/>
      <c r="F14" s="1"/>
      <c r="G14" s="1"/>
      <c r="H14" s="347">
        <v>1.05</v>
      </c>
      <c r="I14" s="347">
        <v>1.0449999999999999</v>
      </c>
      <c r="J14" s="347">
        <v>1.0429999999999999</v>
      </c>
      <c r="K14" s="1"/>
      <c r="L14" s="1"/>
    </row>
    <row r="15" spans="1:12" ht="30">
      <c r="A15" s="86" t="s">
        <v>62</v>
      </c>
      <c r="B15" s="60" t="s">
        <v>509</v>
      </c>
      <c r="C15" s="1"/>
      <c r="D15" s="1"/>
      <c r="E15" s="1"/>
      <c r="F15" s="1"/>
      <c r="G15" s="1"/>
      <c r="H15" s="347">
        <v>1.0840000000000001</v>
      </c>
      <c r="I15" s="347">
        <v>1.073</v>
      </c>
      <c r="J15" s="347">
        <v>1.0529999999999999</v>
      </c>
      <c r="K15" s="1"/>
      <c r="L15" s="1"/>
    </row>
    <row r="16" spans="1:12">
      <c r="A16" s="86" t="s">
        <v>64</v>
      </c>
      <c r="B16" s="60" t="s">
        <v>325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3">
      <c r="A17" s="86" t="s">
        <v>172</v>
      </c>
      <c r="B17" s="60" t="s">
        <v>173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3">
      <c r="A18" s="101" t="s">
        <v>66</v>
      </c>
      <c r="B18" s="60" t="s">
        <v>326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30">
      <c r="A19" s="22" t="s">
        <v>327</v>
      </c>
      <c r="B19" s="60" t="s">
        <v>182</v>
      </c>
      <c r="C19" s="60" t="s">
        <v>328</v>
      </c>
      <c r="D19" s="60"/>
      <c r="E19" s="60"/>
      <c r="F19" s="60"/>
      <c r="G19" s="60"/>
      <c r="H19" s="60"/>
      <c r="I19" s="60"/>
      <c r="J19" s="60"/>
      <c r="K19" s="60"/>
      <c r="L19" s="60"/>
      <c r="M19" s="130"/>
    </row>
    <row r="20" spans="1:13" ht="30">
      <c r="A20" s="22" t="s">
        <v>329</v>
      </c>
      <c r="B20" s="60" t="s">
        <v>330</v>
      </c>
      <c r="C20" s="60" t="s">
        <v>328</v>
      </c>
      <c r="D20" s="60"/>
      <c r="E20" s="60"/>
      <c r="F20" s="60"/>
      <c r="G20" s="60"/>
      <c r="H20" s="60"/>
      <c r="I20" s="60"/>
      <c r="J20" s="60"/>
      <c r="K20" s="60"/>
      <c r="L20" s="60"/>
      <c r="M20" s="130"/>
    </row>
    <row r="21" spans="1:13" ht="30">
      <c r="A21" s="22" t="s">
        <v>331</v>
      </c>
      <c r="B21" s="60" t="s">
        <v>336</v>
      </c>
      <c r="C21" s="60" t="s">
        <v>328</v>
      </c>
      <c r="D21" s="60"/>
      <c r="E21" s="60"/>
      <c r="F21" s="60"/>
      <c r="G21" s="60"/>
      <c r="H21" s="60"/>
      <c r="I21" s="60"/>
      <c r="J21" s="60"/>
      <c r="K21" s="60"/>
      <c r="L21" s="60"/>
      <c r="M21" s="130"/>
    </row>
    <row r="22" spans="1:13" ht="30">
      <c r="A22" s="22" t="s">
        <v>332</v>
      </c>
      <c r="B22" s="60" t="s">
        <v>177</v>
      </c>
      <c r="C22" s="60" t="s">
        <v>328</v>
      </c>
      <c r="D22" s="60"/>
      <c r="E22" s="60"/>
      <c r="F22" s="60"/>
      <c r="G22" s="60"/>
      <c r="H22" s="60"/>
      <c r="I22" s="60"/>
      <c r="J22" s="60"/>
      <c r="K22" s="60"/>
      <c r="L22" s="60"/>
      <c r="M22" s="130"/>
    </row>
    <row r="23" spans="1:13" ht="30">
      <c r="A23" s="22" t="s">
        <v>333</v>
      </c>
      <c r="B23" s="60" t="s">
        <v>337</v>
      </c>
      <c r="C23" s="60" t="s">
        <v>328</v>
      </c>
      <c r="D23" s="60"/>
      <c r="E23" s="60"/>
      <c r="F23" s="60"/>
      <c r="G23" s="60"/>
      <c r="H23" s="60"/>
      <c r="I23" s="60"/>
      <c r="J23" s="60"/>
      <c r="K23" s="60"/>
      <c r="L23" s="60"/>
      <c r="M23" s="130"/>
    </row>
    <row r="24" spans="1:13" ht="30">
      <c r="A24" s="22" t="s">
        <v>68</v>
      </c>
      <c r="B24" s="60" t="s">
        <v>338</v>
      </c>
      <c r="C24" s="60" t="s">
        <v>328</v>
      </c>
      <c r="D24" s="60"/>
      <c r="E24" s="60"/>
      <c r="F24" s="60"/>
      <c r="G24" s="60"/>
      <c r="H24" s="60"/>
      <c r="I24" s="60"/>
      <c r="J24" s="60"/>
      <c r="K24" s="60"/>
      <c r="L24" s="60"/>
      <c r="M24" s="130"/>
    </row>
    <row r="25" spans="1:13" ht="45">
      <c r="A25" s="22" t="s">
        <v>335</v>
      </c>
      <c r="B25" s="60" t="s">
        <v>339</v>
      </c>
      <c r="C25" s="60" t="s">
        <v>328</v>
      </c>
      <c r="D25" s="60"/>
      <c r="E25" s="60"/>
      <c r="F25" s="60"/>
      <c r="G25" s="60"/>
      <c r="H25" s="60"/>
      <c r="I25" s="60"/>
      <c r="J25" s="60"/>
      <c r="K25" s="60"/>
      <c r="L25" s="60"/>
      <c r="M25" s="130"/>
    </row>
    <row r="26" spans="1:13" ht="30">
      <c r="A26" s="22" t="s">
        <v>342</v>
      </c>
      <c r="B26" s="60" t="s">
        <v>182</v>
      </c>
      <c r="C26" s="60" t="s">
        <v>328</v>
      </c>
      <c r="D26" s="60"/>
      <c r="E26" s="60"/>
      <c r="F26" s="60"/>
      <c r="G26" s="60"/>
      <c r="H26" s="60"/>
      <c r="I26" s="60"/>
      <c r="J26" s="60"/>
      <c r="K26" s="60"/>
      <c r="L26" s="60"/>
      <c r="M26" s="130"/>
    </row>
    <row r="27" spans="1:13" ht="30">
      <c r="A27" s="22" t="s">
        <v>343</v>
      </c>
      <c r="B27" s="60" t="s">
        <v>340</v>
      </c>
      <c r="C27" s="60" t="s">
        <v>328</v>
      </c>
      <c r="D27" s="60"/>
      <c r="E27" s="60"/>
      <c r="F27" s="60"/>
      <c r="G27" s="60"/>
      <c r="H27" s="60"/>
      <c r="I27" s="60"/>
      <c r="J27" s="60"/>
      <c r="K27" s="60"/>
      <c r="L27" s="60"/>
      <c r="M27" s="130"/>
    </row>
    <row r="28" spans="1:13" ht="30">
      <c r="A28" s="22" t="s">
        <v>344</v>
      </c>
      <c r="B28" s="60" t="s">
        <v>341</v>
      </c>
      <c r="C28" s="60" t="s">
        <v>328</v>
      </c>
      <c r="D28" s="60"/>
      <c r="E28" s="60"/>
      <c r="F28" s="60"/>
      <c r="G28" s="60"/>
      <c r="H28" s="60"/>
      <c r="I28" s="60"/>
      <c r="J28" s="60"/>
      <c r="K28" s="60"/>
      <c r="L28" s="60"/>
      <c r="M28" s="130"/>
    </row>
    <row r="29" spans="1:13" ht="30">
      <c r="A29" s="22" t="s">
        <v>345</v>
      </c>
      <c r="B29" s="60" t="s">
        <v>177</v>
      </c>
      <c r="C29" s="60" t="s">
        <v>328</v>
      </c>
      <c r="D29" s="60"/>
      <c r="E29" s="60"/>
      <c r="F29" s="60"/>
      <c r="G29" s="60"/>
      <c r="H29" s="60"/>
      <c r="I29" s="60"/>
      <c r="J29" s="60"/>
      <c r="K29" s="60"/>
      <c r="L29" s="60"/>
      <c r="M29" s="130"/>
    </row>
    <row r="30" spans="1:13" ht="30">
      <c r="A30" s="22" t="s">
        <v>346</v>
      </c>
      <c r="B30" s="60" t="s">
        <v>188</v>
      </c>
      <c r="C30" s="60" t="s">
        <v>328</v>
      </c>
      <c r="D30" s="60"/>
      <c r="E30" s="60"/>
      <c r="F30" s="60"/>
      <c r="G30" s="60"/>
      <c r="H30" s="60"/>
      <c r="I30" s="60"/>
      <c r="J30" s="60"/>
      <c r="K30" s="60"/>
      <c r="L30" s="60"/>
      <c r="M30" s="130"/>
    </row>
    <row r="31" spans="1:13" ht="30">
      <c r="A31" s="14" t="s">
        <v>334</v>
      </c>
      <c r="B31" s="60" t="s">
        <v>347</v>
      </c>
      <c r="C31" s="60" t="s">
        <v>328</v>
      </c>
      <c r="D31" s="60"/>
      <c r="E31" s="60"/>
      <c r="F31" s="60"/>
      <c r="G31" s="60"/>
      <c r="H31" s="60"/>
      <c r="I31" s="60"/>
      <c r="J31" s="60"/>
      <c r="K31" s="60"/>
      <c r="L31" s="60"/>
      <c r="M31" s="130"/>
    </row>
    <row r="32" spans="1:13" ht="30">
      <c r="A32" s="14" t="s">
        <v>348</v>
      </c>
      <c r="B32" s="60" t="s">
        <v>182</v>
      </c>
      <c r="C32" s="60" t="s">
        <v>328</v>
      </c>
      <c r="D32" s="60"/>
      <c r="E32" s="60"/>
      <c r="F32" s="60"/>
      <c r="G32" s="60"/>
      <c r="H32" s="60"/>
      <c r="I32" s="60"/>
      <c r="J32" s="60"/>
      <c r="K32" s="60"/>
      <c r="L32" s="60"/>
      <c r="M32" s="130"/>
    </row>
    <row r="33" spans="1:13" ht="30">
      <c r="A33" s="14" t="s">
        <v>349</v>
      </c>
      <c r="B33" s="60" t="s">
        <v>340</v>
      </c>
      <c r="C33" s="60" t="s">
        <v>328</v>
      </c>
      <c r="D33" s="60"/>
      <c r="E33" s="60"/>
      <c r="F33" s="60"/>
      <c r="G33" s="60"/>
      <c r="H33" s="60"/>
      <c r="I33" s="60"/>
      <c r="J33" s="60"/>
      <c r="K33" s="60"/>
      <c r="L33" s="60"/>
      <c r="M33" s="130"/>
    </row>
    <row r="34" spans="1:13" ht="30">
      <c r="A34" s="14" t="s">
        <v>350</v>
      </c>
      <c r="B34" s="60" t="s">
        <v>341</v>
      </c>
      <c r="C34" s="60" t="s">
        <v>328</v>
      </c>
      <c r="D34" s="60"/>
      <c r="E34" s="60"/>
      <c r="F34" s="60"/>
      <c r="G34" s="60"/>
      <c r="H34" s="60"/>
      <c r="I34" s="60"/>
      <c r="J34" s="60"/>
      <c r="K34" s="60"/>
      <c r="L34" s="60"/>
      <c r="M34" s="130"/>
    </row>
    <row r="35" spans="1:13" ht="30">
      <c r="A35" s="14" t="s">
        <v>351</v>
      </c>
      <c r="B35" s="60" t="s">
        <v>177</v>
      </c>
      <c r="C35" s="60" t="s">
        <v>328</v>
      </c>
      <c r="D35" s="60"/>
      <c r="E35" s="60"/>
      <c r="F35" s="60"/>
      <c r="G35" s="60"/>
      <c r="H35" s="60"/>
      <c r="I35" s="60"/>
      <c r="J35" s="60"/>
      <c r="K35" s="60"/>
      <c r="L35" s="60"/>
      <c r="M35" s="130"/>
    </row>
    <row r="36" spans="1:13" ht="30">
      <c r="A36" s="14" t="s">
        <v>352</v>
      </c>
      <c r="B36" s="60" t="s">
        <v>188</v>
      </c>
      <c r="C36" s="60" t="s">
        <v>328</v>
      </c>
      <c r="D36" s="1"/>
      <c r="E36" s="1"/>
      <c r="F36" s="1"/>
      <c r="G36" s="1"/>
      <c r="H36" s="1"/>
      <c r="I36" s="1"/>
      <c r="J36" s="1"/>
      <c r="K36" s="1"/>
      <c r="L36" s="1"/>
    </row>
    <row r="37" spans="1:13" ht="30">
      <c r="A37" s="14" t="s">
        <v>252</v>
      </c>
      <c r="B37" s="1" t="s">
        <v>173</v>
      </c>
      <c r="C37" s="60" t="s">
        <v>328</v>
      </c>
      <c r="D37" s="1"/>
      <c r="E37" s="1"/>
      <c r="F37" s="1"/>
      <c r="G37" s="1"/>
      <c r="H37" s="1"/>
      <c r="I37" s="1"/>
      <c r="J37" s="1"/>
      <c r="K37" s="1"/>
      <c r="L37" s="1"/>
    </row>
    <row r="38" spans="1:13" ht="30">
      <c r="A38" s="120" t="s">
        <v>226</v>
      </c>
      <c r="B38" s="44" t="s">
        <v>173</v>
      </c>
      <c r="C38" s="60" t="s">
        <v>328</v>
      </c>
      <c r="D38" s="1"/>
      <c r="E38" s="1"/>
      <c r="F38" s="1"/>
      <c r="G38" s="1"/>
      <c r="H38" s="1"/>
      <c r="I38" s="1"/>
      <c r="J38" s="1"/>
      <c r="K38" s="1"/>
      <c r="L38" s="1"/>
    </row>
    <row r="39" spans="1:13">
      <c r="A39" s="14">
        <v>4</v>
      </c>
      <c r="B39" s="1" t="s">
        <v>353</v>
      </c>
      <c r="C39" s="60"/>
      <c r="D39" s="1"/>
      <c r="E39" s="1"/>
      <c r="F39" s="1"/>
      <c r="G39" s="1"/>
      <c r="H39" s="1"/>
      <c r="I39" s="1"/>
      <c r="J39" s="1"/>
      <c r="K39" s="1"/>
      <c r="L39" s="1"/>
    </row>
    <row r="40" spans="1:13">
      <c r="A40" s="14" t="s">
        <v>101</v>
      </c>
      <c r="B40" s="1" t="s">
        <v>354</v>
      </c>
      <c r="C40" s="60"/>
      <c r="D40" s="1"/>
      <c r="E40" s="1"/>
      <c r="F40" s="1"/>
      <c r="G40" s="1"/>
      <c r="H40" s="1"/>
      <c r="I40" s="1"/>
      <c r="J40" s="1"/>
      <c r="K40" s="1"/>
      <c r="L40" s="1"/>
    </row>
    <row r="41" spans="1:13">
      <c r="A41" s="14" t="s">
        <v>265</v>
      </c>
      <c r="B41" s="1" t="s">
        <v>355</v>
      </c>
      <c r="C41" s="60"/>
      <c r="D41" s="1"/>
      <c r="E41" s="1"/>
      <c r="F41" s="1"/>
      <c r="G41" s="1"/>
      <c r="H41" s="1"/>
      <c r="I41" s="1"/>
      <c r="J41" s="1"/>
      <c r="K41" s="1"/>
      <c r="L41" s="1"/>
    </row>
    <row r="42" spans="1:13">
      <c r="A42" s="14" t="s">
        <v>266</v>
      </c>
      <c r="B42" s="35" t="s">
        <v>356</v>
      </c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3" ht="30">
      <c r="A43" s="14" t="s">
        <v>221</v>
      </c>
      <c r="B43" s="44" t="s">
        <v>357</v>
      </c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3">
      <c r="A44" s="14" t="s">
        <v>105</v>
      </c>
      <c r="B44" s="60" t="s">
        <v>358</v>
      </c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3" ht="30">
      <c r="A45" s="14" t="s">
        <v>359</v>
      </c>
      <c r="B45" s="60" t="s">
        <v>360</v>
      </c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3">
      <c r="A46" s="14" t="s">
        <v>108</v>
      </c>
      <c r="B46" s="60" t="s">
        <v>361</v>
      </c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3">
      <c r="A47" s="14" t="s">
        <v>276</v>
      </c>
      <c r="B47" s="60" t="s">
        <v>362</v>
      </c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3">
      <c r="A48" s="14" t="s">
        <v>278</v>
      </c>
      <c r="B48" s="60" t="s">
        <v>363</v>
      </c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>
      <c r="A49" s="61">
        <v>8</v>
      </c>
      <c r="B49" s="60" t="s">
        <v>364</v>
      </c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14" t="s">
        <v>132</v>
      </c>
      <c r="B50" s="60" t="s">
        <v>365</v>
      </c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132" t="s">
        <v>366</v>
      </c>
      <c r="B51" s="60" t="s">
        <v>367</v>
      </c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>
      <c r="A52" s="131"/>
    </row>
    <row r="53" spans="1:12">
      <c r="A53" s="131"/>
    </row>
    <row r="54" spans="1:12">
      <c r="A54" s="131"/>
    </row>
  </sheetData>
  <mergeCells count="13">
    <mergeCell ref="F3:I3"/>
    <mergeCell ref="F4:I4"/>
    <mergeCell ref="F6:I6"/>
    <mergeCell ref="A9:A11"/>
    <mergeCell ref="B9:B11"/>
    <mergeCell ref="C9:C11"/>
    <mergeCell ref="K9:K11"/>
    <mergeCell ref="L9:L11"/>
    <mergeCell ref="D9:E10"/>
    <mergeCell ref="F9:G10"/>
    <mergeCell ref="H9:H11"/>
    <mergeCell ref="I9:I11"/>
    <mergeCell ref="J9:J1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P47"/>
  <sheetViews>
    <sheetView topLeftCell="B1" zoomScale="86" zoomScaleNormal="86" zoomScaleSheetLayoutView="70" workbookViewId="0">
      <selection activeCell="G24" sqref="G24"/>
    </sheetView>
  </sheetViews>
  <sheetFormatPr defaultRowHeight="15"/>
  <cols>
    <col min="1" max="1" width="6.85546875" bestFit="1" customWidth="1"/>
    <col min="2" max="2" width="55.28515625" customWidth="1"/>
    <col min="3" max="3" width="14.28515625" customWidth="1"/>
    <col min="4" max="4" width="12.85546875" hidden="1" customWidth="1"/>
    <col min="5" max="5" width="15" customWidth="1"/>
    <col min="6" max="6" width="13.85546875" customWidth="1"/>
    <col min="7" max="7" width="14.140625" customWidth="1"/>
    <col min="8" max="8" width="15.140625" customWidth="1"/>
    <col min="9" max="9" width="14.7109375" customWidth="1"/>
    <col min="10" max="10" width="17.42578125" customWidth="1"/>
    <col min="11" max="11" width="17.28515625" hidden="1" customWidth="1"/>
    <col min="12" max="12" width="19.7109375" hidden="1" customWidth="1"/>
    <col min="13" max="13" width="14.140625" customWidth="1"/>
    <col min="14" max="14" width="14.5703125" customWidth="1"/>
    <col min="15" max="15" width="11.7109375" customWidth="1"/>
    <col min="257" max="257" width="6.85546875" bestFit="1" customWidth="1"/>
    <col min="258" max="258" width="58.140625" customWidth="1"/>
    <col min="259" max="259" width="14.28515625" customWidth="1"/>
    <col min="260" max="260" width="0" hidden="1" customWidth="1"/>
    <col min="261" max="261" width="17" customWidth="1"/>
    <col min="262" max="262" width="15.85546875" customWidth="1"/>
    <col min="263" max="263" width="15.7109375" customWidth="1"/>
    <col min="264" max="264" width="16.85546875" customWidth="1"/>
    <col min="265" max="265" width="17.28515625" customWidth="1"/>
    <col min="266" max="266" width="19.28515625" customWidth="1"/>
    <col min="267" max="267" width="18.85546875" customWidth="1"/>
    <col min="268" max="268" width="19.7109375" customWidth="1"/>
    <col min="269" max="269" width="9.5703125" customWidth="1"/>
    <col min="513" max="513" width="6.85546875" bestFit="1" customWidth="1"/>
    <col min="514" max="514" width="58.140625" customWidth="1"/>
    <col min="515" max="515" width="14.28515625" customWidth="1"/>
    <col min="516" max="516" width="0" hidden="1" customWidth="1"/>
    <col min="517" max="517" width="17" customWidth="1"/>
    <col min="518" max="518" width="15.85546875" customWidth="1"/>
    <col min="519" max="519" width="15.7109375" customWidth="1"/>
    <col min="520" max="520" width="16.85546875" customWidth="1"/>
    <col min="521" max="521" width="17.28515625" customWidth="1"/>
    <col min="522" max="522" width="19.28515625" customWidth="1"/>
    <col min="523" max="523" width="18.85546875" customWidth="1"/>
    <col min="524" max="524" width="19.7109375" customWidth="1"/>
    <col min="525" max="525" width="9.5703125" customWidth="1"/>
    <col min="769" max="769" width="6.85546875" bestFit="1" customWidth="1"/>
    <col min="770" max="770" width="58.140625" customWidth="1"/>
    <col min="771" max="771" width="14.28515625" customWidth="1"/>
    <col min="772" max="772" width="0" hidden="1" customWidth="1"/>
    <col min="773" max="773" width="17" customWidth="1"/>
    <col min="774" max="774" width="15.85546875" customWidth="1"/>
    <col min="775" max="775" width="15.7109375" customWidth="1"/>
    <col min="776" max="776" width="16.85546875" customWidth="1"/>
    <col min="777" max="777" width="17.28515625" customWidth="1"/>
    <col min="778" max="778" width="19.28515625" customWidth="1"/>
    <col min="779" max="779" width="18.85546875" customWidth="1"/>
    <col min="780" max="780" width="19.7109375" customWidth="1"/>
    <col min="781" max="781" width="9.5703125" customWidth="1"/>
    <col min="1025" max="1025" width="6.85546875" bestFit="1" customWidth="1"/>
    <col min="1026" max="1026" width="58.140625" customWidth="1"/>
    <col min="1027" max="1027" width="14.28515625" customWidth="1"/>
    <col min="1028" max="1028" width="0" hidden="1" customWidth="1"/>
    <col min="1029" max="1029" width="17" customWidth="1"/>
    <col min="1030" max="1030" width="15.85546875" customWidth="1"/>
    <col min="1031" max="1031" width="15.7109375" customWidth="1"/>
    <col min="1032" max="1032" width="16.85546875" customWidth="1"/>
    <col min="1033" max="1033" width="17.28515625" customWidth="1"/>
    <col min="1034" max="1034" width="19.28515625" customWidth="1"/>
    <col min="1035" max="1035" width="18.85546875" customWidth="1"/>
    <col min="1036" max="1036" width="19.7109375" customWidth="1"/>
    <col min="1037" max="1037" width="9.5703125" customWidth="1"/>
    <col min="1281" max="1281" width="6.85546875" bestFit="1" customWidth="1"/>
    <col min="1282" max="1282" width="58.140625" customWidth="1"/>
    <col min="1283" max="1283" width="14.28515625" customWidth="1"/>
    <col min="1284" max="1284" width="0" hidden="1" customWidth="1"/>
    <col min="1285" max="1285" width="17" customWidth="1"/>
    <col min="1286" max="1286" width="15.85546875" customWidth="1"/>
    <col min="1287" max="1287" width="15.7109375" customWidth="1"/>
    <col min="1288" max="1288" width="16.85546875" customWidth="1"/>
    <col min="1289" max="1289" width="17.28515625" customWidth="1"/>
    <col min="1290" max="1290" width="19.28515625" customWidth="1"/>
    <col min="1291" max="1291" width="18.85546875" customWidth="1"/>
    <col min="1292" max="1292" width="19.7109375" customWidth="1"/>
    <col min="1293" max="1293" width="9.5703125" customWidth="1"/>
    <col min="1537" max="1537" width="6.85546875" bestFit="1" customWidth="1"/>
    <col min="1538" max="1538" width="58.140625" customWidth="1"/>
    <col min="1539" max="1539" width="14.28515625" customWidth="1"/>
    <col min="1540" max="1540" width="0" hidden="1" customWidth="1"/>
    <col min="1541" max="1541" width="17" customWidth="1"/>
    <col min="1542" max="1542" width="15.85546875" customWidth="1"/>
    <col min="1543" max="1543" width="15.7109375" customWidth="1"/>
    <col min="1544" max="1544" width="16.85546875" customWidth="1"/>
    <col min="1545" max="1545" width="17.28515625" customWidth="1"/>
    <col min="1546" max="1546" width="19.28515625" customWidth="1"/>
    <col min="1547" max="1547" width="18.85546875" customWidth="1"/>
    <col min="1548" max="1548" width="19.7109375" customWidth="1"/>
    <col min="1549" max="1549" width="9.5703125" customWidth="1"/>
    <col min="1793" max="1793" width="6.85546875" bestFit="1" customWidth="1"/>
    <col min="1794" max="1794" width="58.140625" customWidth="1"/>
    <col min="1795" max="1795" width="14.28515625" customWidth="1"/>
    <col min="1796" max="1796" width="0" hidden="1" customWidth="1"/>
    <col min="1797" max="1797" width="17" customWidth="1"/>
    <col min="1798" max="1798" width="15.85546875" customWidth="1"/>
    <col min="1799" max="1799" width="15.7109375" customWidth="1"/>
    <col min="1800" max="1800" width="16.85546875" customWidth="1"/>
    <col min="1801" max="1801" width="17.28515625" customWidth="1"/>
    <col min="1802" max="1802" width="19.28515625" customWidth="1"/>
    <col min="1803" max="1803" width="18.85546875" customWidth="1"/>
    <col min="1804" max="1804" width="19.7109375" customWidth="1"/>
    <col min="1805" max="1805" width="9.5703125" customWidth="1"/>
    <col min="2049" max="2049" width="6.85546875" bestFit="1" customWidth="1"/>
    <col min="2050" max="2050" width="58.140625" customWidth="1"/>
    <col min="2051" max="2051" width="14.28515625" customWidth="1"/>
    <col min="2052" max="2052" width="0" hidden="1" customWidth="1"/>
    <col min="2053" max="2053" width="17" customWidth="1"/>
    <col min="2054" max="2054" width="15.85546875" customWidth="1"/>
    <col min="2055" max="2055" width="15.7109375" customWidth="1"/>
    <col min="2056" max="2056" width="16.85546875" customWidth="1"/>
    <col min="2057" max="2057" width="17.28515625" customWidth="1"/>
    <col min="2058" max="2058" width="19.28515625" customWidth="1"/>
    <col min="2059" max="2059" width="18.85546875" customWidth="1"/>
    <col min="2060" max="2060" width="19.7109375" customWidth="1"/>
    <col min="2061" max="2061" width="9.5703125" customWidth="1"/>
    <col min="2305" max="2305" width="6.85546875" bestFit="1" customWidth="1"/>
    <col min="2306" max="2306" width="58.140625" customWidth="1"/>
    <col min="2307" max="2307" width="14.28515625" customWidth="1"/>
    <col min="2308" max="2308" width="0" hidden="1" customWidth="1"/>
    <col min="2309" max="2309" width="17" customWidth="1"/>
    <col min="2310" max="2310" width="15.85546875" customWidth="1"/>
    <col min="2311" max="2311" width="15.7109375" customWidth="1"/>
    <col min="2312" max="2312" width="16.85546875" customWidth="1"/>
    <col min="2313" max="2313" width="17.28515625" customWidth="1"/>
    <col min="2314" max="2314" width="19.28515625" customWidth="1"/>
    <col min="2315" max="2315" width="18.85546875" customWidth="1"/>
    <col min="2316" max="2316" width="19.7109375" customWidth="1"/>
    <col min="2317" max="2317" width="9.5703125" customWidth="1"/>
    <col min="2561" max="2561" width="6.85546875" bestFit="1" customWidth="1"/>
    <col min="2562" max="2562" width="58.140625" customWidth="1"/>
    <col min="2563" max="2563" width="14.28515625" customWidth="1"/>
    <col min="2564" max="2564" width="0" hidden="1" customWidth="1"/>
    <col min="2565" max="2565" width="17" customWidth="1"/>
    <col min="2566" max="2566" width="15.85546875" customWidth="1"/>
    <col min="2567" max="2567" width="15.7109375" customWidth="1"/>
    <col min="2568" max="2568" width="16.85546875" customWidth="1"/>
    <col min="2569" max="2569" width="17.28515625" customWidth="1"/>
    <col min="2570" max="2570" width="19.28515625" customWidth="1"/>
    <col min="2571" max="2571" width="18.85546875" customWidth="1"/>
    <col min="2572" max="2572" width="19.7109375" customWidth="1"/>
    <col min="2573" max="2573" width="9.5703125" customWidth="1"/>
    <col min="2817" max="2817" width="6.85546875" bestFit="1" customWidth="1"/>
    <col min="2818" max="2818" width="58.140625" customWidth="1"/>
    <col min="2819" max="2819" width="14.28515625" customWidth="1"/>
    <col min="2820" max="2820" width="0" hidden="1" customWidth="1"/>
    <col min="2821" max="2821" width="17" customWidth="1"/>
    <col min="2822" max="2822" width="15.85546875" customWidth="1"/>
    <col min="2823" max="2823" width="15.7109375" customWidth="1"/>
    <col min="2824" max="2824" width="16.85546875" customWidth="1"/>
    <col min="2825" max="2825" width="17.28515625" customWidth="1"/>
    <col min="2826" max="2826" width="19.28515625" customWidth="1"/>
    <col min="2827" max="2827" width="18.85546875" customWidth="1"/>
    <col min="2828" max="2828" width="19.7109375" customWidth="1"/>
    <col min="2829" max="2829" width="9.5703125" customWidth="1"/>
    <col min="3073" max="3073" width="6.85546875" bestFit="1" customWidth="1"/>
    <col min="3074" max="3074" width="58.140625" customWidth="1"/>
    <col min="3075" max="3075" width="14.28515625" customWidth="1"/>
    <col min="3076" max="3076" width="0" hidden="1" customWidth="1"/>
    <col min="3077" max="3077" width="17" customWidth="1"/>
    <col min="3078" max="3078" width="15.85546875" customWidth="1"/>
    <col min="3079" max="3079" width="15.7109375" customWidth="1"/>
    <col min="3080" max="3080" width="16.85546875" customWidth="1"/>
    <col min="3081" max="3081" width="17.28515625" customWidth="1"/>
    <col min="3082" max="3082" width="19.28515625" customWidth="1"/>
    <col min="3083" max="3083" width="18.85546875" customWidth="1"/>
    <col min="3084" max="3084" width="19.7109375" customWidth="1"/>
    <col min="3085" max="3085" width="9.5703125" customWidth="1"/>
    <col min="3329" max="3329" width="6.85546875" bestFit="1" customWidth="1"/>
    <col min="3330" max="3330" width="58.140625" customWidth="1"/>
    <col min="3331" max="3331" width="14.28515625" customWidth="1"/>
    <col min="3332" max="3332" width="0" hidden="1" customWidth="1"/>
    <col min="3333" max="3333" width="17" customWidth="1"/>
    <col min="3334" max="3334" width="15.85546875" customWidth="1"/>
    <col min="3335" max="3335" width="15.7109375" customWidth="1"/>
    <col min="3336" max="3336" width="16.85546875" customWidth="1"/>
    <col min="3337" max="3337" width="17.28515625" customWidth="1"/>
    <col min="3338" max="3338" width="19.28515625" customWidth="1"/>
    <col min="3339" max="3339" width="18.85546875" customWidth="1"/>
    <col min="3340" max="3340" width="19.7109375" customWidth="1"/>
    <col min="3341" max="3341" width="9.5703125" customWidth="1"/>
    <col min="3585" max="3585" width="6.85546875" bestFit="1" customWidth="1"/>
    <col min="3586" max="3586" width="58.140625" customWidth="1"/>
    <col min="3587" max="3587" width="14.28515625" customWidth="1"/>
    <col min="3588" max="3588" width="0" hidden="1" customWidth="1"/>
    <col min="3589" max="3589" width="17" customWidth="1"/>
    <col min="3590" max="3590" width="15.85546875" customWidth="1"/>
    <col min="3591" max="3591" width="15.7109375" customWidth="1"/>
    <col min="3592" max="3592" width="16.85546875" customWidth="1"/>
    <col min="3593" max="3593" width="17.28515625" customWidth="1"/>
    <col min="3594" max="3594" width="19.28515625" customWidth="1"/>
    <col min="3595" max="3595" width="18.85546875" customWidth="1"/>
    <col min="3596" max="3596" width="19.7109375" customWidth="1"/>
    <col min="3597" max="3597" width="9.5703125" customWidth="1"/>
    <col min="3841" max="3841" width="6.85546875" bestFit="1" customWidth="1"/>
    <col min="3842" max="3842" width="58.140625" customWidth="1"/>
    <col min="3843" max="3843" width="14.28515625" customWidth="1"/>
    <col min="3844" max="3844" width="0" hidden="1" customWidth="1"/>
    <col min="3845" max="3845" width="17" customWidth="1"/>
    <col min="3846" max="3846" width="15.85546875" customWidth="1"/>
    <col min="3847" max="3847" width="15.7109375" customWidth="1"/>
    <col min="3848" max="3848" width="16.85546875" customWidth="1"/>
    <col min="3849" max="3849" width="17.28515625" customWidth="1"/>
    <col min="3850" max="3850" width="19.28515625" customWidth="1"/>
    <col min="3851" max="3851" width="18.85546875" customWidth="1"/>
    <col min="3852" max="3852" width="19.7109375" customWidth="1"/>
    <col min="3853" max="3853" width="9.5703125" customWidth="1"/>
    <col min="4097" max="4097" width="6.85546875" bestFit="1" customWidth="1"/>
    <col min="4098" max="4098" width="58.140625" customWidth="1"/>
    <col min="4099" max="4099" width="14.28515625" customWidth="1"/>
    <col min="4100" max="4100" width="0" hidden="1" customWidth="1"/>
    <col min="4101" max="4101" width="17" customWidth="1"/>
    <col min="4102" max="4102" width="15.85546875" customWidth="1"/>
    <col min="4103" max="4103" width="15.7109375" customWidth="1"/>
    <col min="4104" max="4104" width="16.85546875" customWidth="1"/>
    <col min="4105" max="4105" width="17.28515625" customWidth="1"/>
    <col min="4106" max="4106" width="19.28515625" customWidth="1"/>
    <col min="4107" max="4107" width="18.85546875" customWidth="1"/>
    <col min="4108" max="4108" width="19.7109375" customWidth="1"/>
    <col min="4109" max="4109" width="9.5703125" customWidth="1"/>
    <col min="4353" max="4353" width="6.85546875" bestFit="1" customWidth="1"/>
    <col min="4354" max="4354" width="58.140625" customWidth="1"/>
    <col min="4355" max="4355" width="14.28515625" customWidth="1"/>
    <col min="4356" max="4356" width="0" hidden="1" customWidth="1"/>
    <col min="4357" max="4357" width="17" customWidth="1"/>
    <col min="4358" max="4358" width="15.85546875" customWidth="1"/>
    <col min="4359" max="4359" width="15.7109375" customWidth="1"/>
    <col min="4360" max="4360" width="16.85546875" customWidth="1"/>
    <col min="4361" max="4361" width="17.28515625" customWidth="1"/>
    <col min="4362" max="4362" width="19.28515625" customWidth="1"/>
    <col min="4363" max="4363" width="18.85546875" customWidth="1"/>
    <col min="4364" max="4364" width="19.7109375" customWidth="1"/>
    <col min="4365" max="4365" width="9.5703125" customWidth="1"/>
    <col min="4609" max="4609" width="6.85546875" bestFit="1" customWidth="1"/>
    <col min="4610" max="4610" width="58.140625" customWidth="1"/>
    <col min="4611" max="4611" width="14.28515625" customWidth="1"/>
    <col min="4612" max="4612" width="0" hidden="1" customWidth="1"/>
    <col min="4613" max="4613" width="17" customWidth="1"/>
    <col min="4614" max="4614" width="15.85546875" customWidth="1"/>
    <col min="4615" max="4615" width="15.7109375" customWidth="1"/>
    <col min="4616" max="4616" width="16.85546875" customWidth="1"/>
    <col min="4617" max="4617" width="17.28515625" customWidth="1"/>
    <col min="4618" max="4618" width="19.28515625" customWidth="1"/>
    <col min="4619" max="4619" width="18.85546875" customWidth="1"/>
    <col min="4620" max="4620" width="19.7109375" customWidth="1"/>
    <col min="4621" max="4621" width="9.5703125" customWidth="1"/>
    <col min="4865" max="4865" width="6.85546875" bestFit="1" customWidth="1"/>
    <col min="4866" max="4866" width="58.140625" customWidth="1"/>
    <col min="4867" max="4867" width="14.28515625" customWidth="1"/>
    <col min="4868" max="4868" width="0" hidden="1" customWidth="1"/>
    <col min="4869" max="4869" width="17" customWidth="1"/>
    <col min="4870" max="4870" width="15.85546875" customWidth="1"/>
    <col min="4871" max="4871" width="15.7109375" customWidth="1"/>
    <col min="4872" max="4872" width="16.85546875" customWidth="1"/>
    <col min="4873" max="4873" width="17.28515625" customWidth="1"/>
    <col min="4874" max="4874" width="19.28515625" customWidth="1"/>
    <col min="4875" max="4875" width="18.85546875" customWidth="1"/>
    <col min="4876" max="4876" width="19.7109375" customWidth="1"/>
    <col min="4877" max="4877" width="9.5703125" customWidth="1"/>
    <col min="5121" max="5121" width="6.85546875" bestFit="1" customWidth="1"/>
    <col min="5122" max="5122" width="58.140625" customWidth="1"/>
    <col min="5123" max="5123" width="14.28515625" customWidth="1"/>
    <col min="5124" max="5124" width="0" hidden="1" customWidth="1"/>
    <col min="5125" max="5125" width="17" customWidth="1"/>
    <col min="5126" max="5126" width="15.85546875" customWidth="1"/>
    <col min="5127" max="5127" width="15.7109375" customWidth="1"/>
    <col min="5128" max="5128" width="16.85546875" customWidth="1"/>
    <col min="5129" max="5129" width="17.28515625" customWidth="1"/>
    <col min="5130" max="5130" width="19.28515625" customWidth="1"/>
    <col min="5131" max="5131" width="18.85546875" customWidth="1"/>
    <col min="5132" max="5132" width="19.7109375" customWidth="1"/>
    <col min="5133" max="5133" width="9.5703125" customWidth="1"/>
    <col min="5377" max="5377" width="6.85546875" bestFit="1" customWidth="1"/>
    <col min="5378" max="5378" width="58.140625" customWidth="1"/>
    <col min="5379" max="5379" width="14.28515625" customWidth="1"/>
    <col min="5380" max="5380" width="0" hidden="1" customWidth="1"/>
    <col min="5381" max="5381" width="17" customWidth="1"/>
    <col min="5382" max="5382" width="15.85546875" customWidth="1"/>
    <col min="5383" max="5383" width="15.7109375" customWidth="1"/>
    <col min="5384" max="5384" width="16.85546875" customWidth="1"/>
    <col min="5385" max="5385" width="17.28515625" customWidth="1"/>
    <col min="5386" max="5386" width="19.28515625" customWidth="1"/>
    <col min="5387" max="5387" width="18.85546875" customWidth="1"/>
    <col min="5388" max="5388" width="19.7109375" customWidth="1"/>
    <col min="5389" max="5389" width="9.5703125" customWidth="1"/>
    <col min="5633" max="5633" width="6.85546875" bestFit="1" customWidth="1"/>
    <col min="5634" max="5634" width="58.140625" customWidth="1"/>
    <col min="5635" max="5635" width="14.28515625" customWidth="1"/>
    <col min="5636" max="5636" width="0" hidden="1" customWidth="1"/>
    <col min="5637" max="5637" width="17" customWidth="1"/>
    <col min="5638" max="5638" width="15.85546875" customWidth="1"/>
    <col min="5639" max="5639" width="15.7109375" customWidth="1"/>
    <col min="5640" max="5640" width="16.85546875" customWidth="1"/>
    <col min="5641" max="5641" width="17.28515625" customWidth="1"/>
    <col min="5642" max="5642" width="19.28515625" customWidth="1"/>
    <col min="5643" max="5643" width="18.85546875" customWidth="1"/>
    <col min="5644" max="5644" width="19.7109375" customWidth="1"/>
    <col min="5645" max="5645" width="9.5703125" customWidth="1"/>
    <col min="5889" max="5889" width="6.85546875" bestFit="1" customWidth="1"/>
    <col min="5890" max="5890" width="58.140625" customWidth="1"/>
    <col min="5891" max="5891" width="14.28515625" customWidth="1"/>
    <col min="5892" max="5892" width="0" hidden="1" customWidth="1"/>
    <col min="5893" max="5893" width="17" customWidth="1"/>
    <col min="5894" max="5894" width="15.85546875" customWidth="1"/>
    <col min="5895" max="5895" width="15.7109375" customWidth="1"/>
    <col min="5896" max="5896" width="16.85546875" customWidth="1"/>
    <col min="5897" max="5897" width="17.28515625" customWidth="1"/>
    <col min="5898" max="5898" width="19.28515625" customWidth="1"/>
    <col min="5899" max="5899" width="18.85546875" customWidth="1"/>
    <col min="5900" max="5900" width="19.7109375" customWidth="1"/>
    <col min="5901" max="5901" width="9.5703125" customWidth="1"/>
    <col min="6145" max="6145" width="6.85546875" bestFit="1" customWidth="1"/>
    <col min="6146" max="6146" width="58.140625" customWidth="1"/>
    <col min="6147" max="6147" width="14.28515625" customWidth="1"/>
    <col min="6148" max="6148" width="0" hidden="1" customWidth="1"/>
    <col min="6149" max="6149" width="17" customWidth="1"/>
    <col min="6150" max="6150" width="15.85546875" customWidth="1"/>
    <col min="6151" max="6151" width="15.7109375" customWidth="1"/>
    <col min="6152" max="6152" width="16.85546875" customWidth="1"/>
    <col min="6153" max="6153" width="17.28515625" customWidth="1"/>
    <col min="6154" max="6154" width="19.28515625" customWidth="1"/>
    <col min="6155" max="6155" width="18.85546875" customWidth="1"/>
    <col min="6156" max="6156" width="19.7109375" customWidth="1"/>
    <col min="6157" max="6157" width="9.5703125" customWidth="1"/>
    <col min="6401" max="6401" width="6.85546875" bestFit="1" customWidth="1"/>
    <col min="6402" max="6402" width="58.140625" customWidth="1"/>
    <col min="6403" max="6403" width="14.28515625" customWidth="1"/>
    <col min="6404" max="6404" width="0" hidden="1" customWidth="1"/>
    <col min="6405" max="6405" width="17" customWidth="1"/>
    <col min="6406" max="6406" width="15.85546875" customWidth="1"/>
    <col min="6407" max="6407" width="15.7109375" customWidth="1"/>
    <col min="6408" max="6408" width="16.85546875" customWidth="1"/>
    <col min="6409" max="6409" width="17.28515625" customWidth="1"/>
    <col min="6410" max="6410" width="19.28515625" customWidth="1"/>
    <col min="6411" max="6411" width="18.85546875" customWidth="1"/>
    <col min="6412" max="6412" width="19.7109375" customWidth="1"/>
    <col min="6413" max="6413" width="9.5703125" customWidth="1"/>
    <col min="6657" max="6657" width="6.85546875" bestFit="1" customWidth="1"/>
    <col min="6658" max="6658" width="58.140625" customWidth="1"/>
    <col min="6659" max="6659" width="14.28515625" customWidth="1"/>
    <col min="6660" max="6660" width="0" hidden="1" customWidth="1"/>
    <col min="6661" max="6661" width="17" customWidth="1"/>
    <col min="6662" max="6662" width="15.85546875" customWidth="1"/>
    <col min="6663" max="6663" width="15.7109375" customWidth="1"/>
    <col min="6664" max="6664" width="16.85546875" customWidth="1"/>
    <col min="6665" max="6665" width="17.28515625" customWidth="1"/>
    <col min="6666" max="6666" width="19.28515625" customWidth="1"/>
    <col min="6667" max="6667" width="18.85546875" customWidth="1"/>
    <col min="6668" max="6668" width="19.7109375" customWidth="1"/>
    <col min="6669" max="6669" width="9.5703125" customWidth="1"/>
    <col min="6913" max="6913" width="6.85546875" bestFit="1" customWidth="1"/>
    <col min="6914" max="6914" width="58.140625" customWidth="1"/>
    <col min="6915" max="6915" width="14.28515625" customWidth="1"/>
    <col min="6916" max="6916" width="0" hidden="1" customWidth="1"/>
    <col min="6917" max="6917" width="17" customWidth="1"/>
    <col min="6918" max="6918" width="15.85546875" customWidth="1"/>
    <col min="6919" max="6919" width="15.7109375" customWidth="1"/>
    <col min="6920" max="6920" width="16.85546875" customWidth="1"/>
    <col min="6921" max="6921" width="17.28515625" customWidth="1"/>
    <col min="6922" max="6922" width="19.28515625" customWidth="1"/>
    <col min="6923" max="6923" width="18.85546875" customWidth="1"/>
    <col min="6924" max="6924" width="19.7109375" customWidth="1"/>
    <col min="6925" max="6925" width="9.5703125" customWidth="1"/>
    <col min="7169" max="7169" width="6.85546875" bestFit="1" customWidth="1"/>
    <col min="7170" max="7170" width="58.140625" customWidth="1"/>
    <col min="7171" max="7171" width="14.28515625" customWidth="1"/>
    <col min="7172" max="7172" width="0" hidden="1" customWidth="1"/>
    <col min="7173" max="7173" width="17" customWidth="1"/>
    <col min="7174" max="7174" width="15.85546875" customWidth="1"/>
    <col min="7175" max="7175" width="15.7109375" customWidth="1"/>
    <col min="7176" max="7176" width="16.85546875" customWidth="1"/>
    <col min="7177" max="7177" width="17.28515625" customWidth="1"/>
    <col min="7178" max="7178" width="19.28515625" customWidth="1"/>
    <col min="7179" max="7179" width="18.85546875" customWidth="1"/>
    <col min="7180" max="7180" width="19.7109375" customWidth="1"/>
    <col min="7181" max="7181" width="9.5703125" customWidth="1"/>
    <col min="7425" max="7425" width="6.85546875" bestFit="1" customWidth="1"/>
    <col min="7426" max="7426" width="58.140625" customWidth="1"/>
    <col min="7427" max="7427" width="14.28515625" customWidth="1"/>
    <col min="7428" max="7428" width="0" hidden="1" customWidth="1"/>
    <col min="7429" max="7429" width="17" customWidth="1"/>
    <col min="7430" max="7430" width="15.85546875" customWidth="1"/>
    <col min="7431" max="7431" width="15.7109375" customWidth="1"/>
    <col min="7432" max="7432" width="16.85546875" customWidth="1"/>
    <col min="7433" max="7433" width="17.28515625" customWidth="1"/>
    <col min="7434" max="7434" width="19.28515625" customWidth="1"/>
    <col min="7435" max="7435" width="18.85546875" customWidth="1"/>
    <col min="7436" max="7436" width="19.7109375" customWidth="1"/>
    <col min="7437" max="7437" width="9.5703125" customWidth="1"/>
    <col min="7681" max="7681" width="6.85546875" bestFit="1" customWidth="1"/>
    <col min="7682" max="7682" width="58.140625" customWidth="1"/>
    <col min="7683" max="7683" width="14.28515625" customWidth="1"/>
    <col min="7684" max="7684" width="0" hidden="1" customWidth="1"/>
    <col min="7685" max="7685" width="17" customWidth="1"/>
    <col min="7686" max="7686" width="15.85546875" customWidth="1"/>
    <col min="7687" max="7687" width="15.7109375" customWidth="1"/>
    <col min="7688" max="7688" width="16.85546875" customWidth="1"/>
    <col min="7689" max="7689" width="17.28515625" customWidth="1"/>
    <col min="7690" max="7690" width="19.28515625" customWidth="1"/>
    <col min="7691" max="7691" width="18.85546875" customWidth="1"/>
    <col min="7692" max="7692" width="19.7109375" customWidth="1"/>
    <col min="7693" max="7693" width="9.5703125" customWidth="1"/>
    <col min="7937" max="7937" width="6.85546875" bestFit="1" customWidth="1"/>
    <col min="7938" max="7938" width="58.140625" customWidth="1"/>
    <col min="7939" max="7939" width="14.28515625" customWidth="1"/>
    <col min="7940" max="7940" width="0" hidden="1" customWidth="1"/>
    <col min="7941" max="7941" width="17" customWidth="1"/>
    <col min="7942" max="7942" width="15.85546875" customWidth="1"/>
    <col min="7943" max="7943" width="15.7109375" customWidth="1"/>
    <col min="7944" max="7944" width="16.85546875" customWidth="1"/>
    <col min="7945" max="7945" width="17.28515625" customWidth="1"/>
    <col min="7946" max="7946" width="19.28515625" customWidth="1"/>
    <col min="7947" max="7947" width="18.85546875" customWidth="1"/>
    <col min="7948" max="7948" width="19.7109375" customWidth="1"/>
    <col min="7949" max="7949" width="9.5703125" customWidth="1"/>
    <col min="8193" max="8193" width="6.85546875" bestFit="1" customWidth="1"/>
    <col min="8194" max="8194" width="58.140625" customWidth="1"/>
    <col min="8195" max="8195" width="14.28515625" customWidth="1"/>
    <col min="8196" max="8196" width="0" hidden="1" customWidth="1"/>
    <col min="8197" max="8197" width="17" customWidth="1"/>
    <col min="8198" max="8198" width="15.85546875" customWidth="1"/>
    <col min="8199" max="8199" width="15.7109375" customWidth="1"/>
    <col min="8200" max="8200" width="16.85546875" customWidth="1"/>
    <col min="8201" max="8201" width="17.28515625" customWidth="1"/>
    <col min="8202" max="8202" width="19.28515625" customWidth="1"/>
    <col min="8203" max="8203" width="18.85546875" customWidth="1"/>
    <col min="8204" max="8204" width="19.7109375" customWidth="1"/>
    <col min="8205" max="8205" width="9.5703125" customWidth="1"/>
    <col min="8449" max="8449" width="6.85546875" bestFit="1" customWidth="1"/>
    <col min="8450" max="8450" width="58.140625" customWidth="1"/>
    <col min="8451" max="8451" width="14.28515625" customWidth="1"/>
    <col min="8452" max="8452" width="0" hidden="1" customWidth="1"/>
    <col min="8453" max="8453" width="17" customWidth="1"/>
    <col min="8454" max="8454" width="15.85546875" customWidth="1"/>
    <col min="8455" max="8455" width="15.7109375" customWidth="1"/>
    <col min="8456" max="8456" width="16.85546875" customWidth="1"/>
    <col min="8457" max="8457" width="17.28515625" customWidth="1"/>
    <col min="8458" max="8458" width="19.28515625" customWidth="1"/>
    <col min="8459" max="8459" width="18.85546875" customWidth="1"/>
    <col min="8460" max="8460" width="19.7109375" customWidth="1"/>
    <col min="8461" max="8461" width="9.5703125" customWidth="1"/>
    <col min="8705" max="8705" width="6.85546875" bestFit="1" customWidth="1"/>
    <col min="8706" max="8706" width="58.140625" customWidth="1"/>
    <col min="8707" max="8707" width="14.28515625" customWidth="1"/>
    <col min="8708" max="8708" width="0" hidden="1" customWidth="1"/>
    <col min="8709" max="8709" width="17" customWidth="1"/>
    <col min="8710" max="8710" width="15.85546875" customWidth="1"/>
    <col min="8711" max="8711" width="15.7109375" customWidth="1"/>
    <col min="8712" max="8712" width="16.85546875" customWidth="1"/>
    <col min="8713" max="8713" width="17.28515625" customWidth="1"/>
    <col min="8714" max="8714" width="19.28515625" customWidth="1"/>
    <col min="8715" max="8715" width="18.85546875" customWidth="1"/>
    <col min="8716" max="8716" width="19.7109375" customWidth="1"/>
    <col min="8717" max="8717" width="9.5703125" customWidth="1"/>
    <col min="8961" max="8961" width="6.85546875" bestFit="1" customWidth="1"/>
    <col min="8962" max="8962" width="58.140625" customWidth="1"/>
    <col min="8963" max="8963" width="14.28515625" customWidth="1"/>
    <col min="8964" max="8964" width="0" hidden="1" customWidth="1"/>
    <col min="8965" max="8965" width="17" customWidth="1"/>
    <col min="8966" max="8966" width="15.85546875" customWidth="1"/>
    <col min="8967" max="8967" width="15.7109375" customWidth="1"/>
    <col min="8968" max="8968" width="16.85546875" customWidth="1"/>
    <col min="8969" max="8969" width="17.28515625" customWidth="1"/>
    <col min="8970" max="8970" width="19.28515625" customWidth="1"/>
    <col min="8971" max="8971" width="18.85546875" customWidth="1"/>
    <col min="8972" max="8972" width="19.7109375" customWidth="1"/>
    <col min="8973" max="8973" width="9.5703125" customWidth="1"/>
    <col min="9217" max="9217" width="6.85546875" bestFit="1" customWidth="1"/>
    <col min="9218" max="9218" width="58.140625" customWidth="1"/>
    <col min="9219" max="9219" width="14.28515625" customWidth="1"/>
    <col min="9220" max="9220" width="0" hidden="1" customWidth="1"/>
    <col min="9221" max="9221" width="17" customWidth="1"/>
    <col min="9222" max="9222" width="15.85546875" customWidth="1"/>
    <col min="9223" max="9223" width="15.7109375" customWidth="1"/>
    <col min="9224" max="9224" width="16.85546875" customWidth="1"/>
    <col min="9225" max="9225" width="17.28515625" customWidth="1"/>
    <col min="9226" max="9226" width="19.28515625" customWidth="1"/>
    <col min="9227" max="9227" width="18.85546875" customWidth="1"/>
    <col min="9228" max="9228" width="19.7109375" customWidth="1"/>
    <col min="9229" max="9229" width="9.5703125" customWidth="1"/>
    <col min="9473" max="9473" width="6.85546875" bestFit="1" customWidth="1"/>
    <col min="9474" max="9474" width="58.140625" customWidth="1"/>
    <col min="9475" max="9475" width="14.28515625" customWidth="1"/>
    <col min="9476" max="9476" width="0" hidden="1" customWidth="1"/>
    <col min="9477" max="9477" width="17" customWidth="1"/>
    <col min="9478" max="9478" width="15.85546875" customWidth="1"/>
    <col min="9479" max="9479" width="15.7109375" customWidth="1"/>
    <col min="9480" max="9480" width="16.85546875" customWidth="1"/>
    <col min="9481" max="9481" width="17.28515625" customWidth="1"/>
    <col min="9482" max="9482" width="19.28515625" customWidth="1"/>
    <col min="9483" max="9483" width="18.85546875" customWidth="1"/>
    <col min="9484" max="9484" width="19.7109375" customWidth="1"/>
    <col min="9485" max="9485" width="9.5703125" customWidth="1"/>
    <col min="9729" max="9729" width="6.85546875" bestFit="1" customWidth="1"/>
    <col min="9730" max="9730" width="58.140625" customWidth="1"/>
    <col min="9731" max="9731" width="14.28515625" customWidth="1"/>
    <col min="9732" max="9732" width="0" hidden="1" customWidth="1"/>
    <col min="9733" max="9733" width="17" customWidth="1"/>
    <col min="9734" max="9734" width="15.85546875" customWidth="1"/>
    <col min="9735" max="9735" width="15.7109375" customWidth="1"/>
    <col min="9736" max="9736" width="16.85546875" customWidth="1"/>
    <col min="9737" max="9737" width="17.28515625" customWidth="1"/>
    <col min="9738" max="9738" width="19.28515625" customWidth="1"/>
    <col min="9739" max="9739" width="18.85546875" customWidth="1"/>
    <col min="9740" max="9740" width="19.7109375" customWidth="1"/>
    <col min="9741" max="9741" width="9.5703125" customWidth="1"/>
    <col min="9985" max="9985" width="6.85546875" bestFit="1" customWidth="1"/>
    <col min="9986" max="9986" width="58.140625" customWidth="1"/>
    <col min="9987" max="9987" width="14.28515625" customWidth="1"/>
    <col min="9988" max="9988" width="0" hidden="1" customWidth="1"/>
    <col min="9989" max="9989" width="17" customWidth="1"/>
    <col min="9990" max="9990" width="15.85546875" customWidth="1"/>
    <col min="9991" max="9991" width="15.7109375" customWidth="1"/>
    <col min="9992" max="9992" width="16.85546875" customWidth="1"/>
    <col min="9993" max="9993" width="17.28515625" customWidth="1"/>
    <col min="9994" max="9994" width="19.28515625" customWidth="1"/>
    <col min="9995" max="9995" width="18.85546875" customWidth="1"/>
    <col min="9996" max="9996" width="19.7109375" customWidth="1"/>
    <col min="9997" max="9997" width="9.5703125" customWidth="1"/>
    <col min="10241" max="10241" width="6.85546875" bestFit="1" customWidth="1"/>
    <col min="10242" max="10242" width="58.140625" customWidth="1"/>
    <col min="10243" max="10243" width="14.28515625" customWidth="1"/>
    <col min="10244" max="10244" width="0" hidden="1" customWidth="1"/>
    <col min="10245" max="10245" width="17" customWidth="1"/>
    <col min="10246" max="10246" width="15.85546875" customWidth="1"/>
    <col min="10247" max="10247" width="15.7109375" customWidth="1"/>
    <col min="10248" max="10248" width="16.85546875" customWidth="1"/>
    <col min="10249" max="10249" width="17.28515625" customWidth="1"/>
    <col min="10250" max="10250" width="19.28515625" customWidth="1"/>
    <col min="10251" max="10251" width="18.85546875" customWidth="1"/>
    <col min="10252" max="10252" width="19.7109375" customWidth="1"/>
    <col min="10253" max="10253" width="9.5703125" customWidth="1"/>
    <col min="10497" max="10497" width="6.85546875" bestFit="1" customWidth="1"/>
    <col min="10498" max="10498" width="58.140625" customWidth="1"/>
    <col min="10499" max="10499" width="14.28515625" customWidth="1"/>
    <col min="10500" max="10500" width="0" hidden="1" customWidth="1"/>
    <col min="10501" max="10501" width="17" customWidth="1"/>
    <col min="10502" max="10502" width="15.85546875" customWidth="1"/>
    <col min="10503" max="10503" width="15.7109375" customWidth="1"/>
    <col min="10504" max="10504" width="16.85546875" customWidth="1"/>
    <col min="10505" max="10505" width="17.28515625" customWidth="1"/>
    <col min="10506" max="10506" width="19.28515625" customWidth="1"/>
    <col min="10507" max="10507" width="18.85546875" customWidth="1"/>
    <col min="10508" max="10508" width="19.7109375" customWidth="1"/>
    <col min="10509" max="10509" width="9.5703125" customWidth="1"/>
    <col min="10753" max="10753" width="6.85546875" bestFit="1" customWidth="1"/>
    <col min="10754" max="10754" width="58.140625" customWidth="1"/>
    <col min="10755" max="10755" width="14.28515625" customWidth="1"/>
    <col min="10756" max="10756" width="0" hidden="1" customWidth="1"/>
    <col min="10757" max="10757" width="17" customWidth="1"/>
    <col min="10758" max="10758" width="15.85546875" customWidth="1"/>
    <col min="10759" max="10759" width="15.7109375" customWidth="1"/>
    <col min="10760" max="10760" width="16.85546875" customWidth="1"/>
    <col min="10761" max="10761" width="17.28515625" customWidth="1"/>
    <col min="10762" max="10762" width="19.28515625" customWidth="1"/>
    <col min="10763" max="10763" width="18.85546875" customWidth="1"/>
    <col min="10764" max="10764" width="19.7109375" customWidth="1"/>
    <col min="10765" max="10765" width="9.5703125" customWidth="1"/>
    <col min="11009" max="11009" width="6.85546875" bestFit="1" customWidth="1"/>
    <col min="11010" max="11010" width="58.140625" customWidth="1"/>
    <col min="11011" max="11011" width="14.28515625" customWidth="1"/>
    <col min="11012" max="11012" width="0" hidden="1" customWidth="1"/>
    <col min="11013" max="11013" width="17" customWidth="1"/>
    <col min="11014" max="11014" width="15.85546875" customWidth="1"/>
    <col min="11015" max="11015" width="15.7109375" customWidth="1"/>
    <col min="11016" max="11016" width="16.85546875" customWidth="1"/>
    <col min="11017" max="11017" width="17.28515625" customWidth="1"/>
    <col min="11018" max="11018" width="19.28515625" customWidth="1"/>
    <col min="11019" max="11019" width="18.85546875" customWidth="1"/>
    <col min="11020" max="11020" width="19.7109375" customWidth="1"/>
    <col min="11021" max="11021" width="9.5703125" customWidth="1"/>
    <col min="11265" max="11265" width="6.85546875" bestFit="1" customWidth="1"/>
    <col min="11266" max="11266" width="58.140625" customWidth="1"/>
    <col min="11267" max="11267" width="14.28515625" customWidth="1"/>
    <col min="11268" max="11268" width="0" hidden="1" customWidth="1"/>
    <col min="11269" max="11269" width="17" customWidth="1"/>
    <col min="11270" max="11270" width="15.85546875" customWidth="1"/>
    <col min="11271" max="11271" width="15.7109375" customWidth="1"/>
    <col min="11272" max="11272" width="16.85546875" customWidth="1"/>
    <col min="11273" max="11273" width="17.28515625" customWidth="1"/>
    <col min="11274" max="11274" width="19.28515625" customWidth="1"/>
    <col min="11275" max="11275" width="18.85546875" customWidth="1"/>
    <col min="11276" max="11276" width="19.7109375" customWidth="1"/>
    <col min="11277" max="11277" width="9.5703125" customWidth="1"/>
    <col min="11521" max="11521" width="6.85546875" bestFit="1" customWidth="1"/>
    <col min="11522" max="11522" width="58.140625" customWidth="1"/>
    <col min="11523" max="11523" width="14.28515625" customWidth="1"/>
    <col min="11524" max="11524" width="0" hidden="1" customWidth="1"/>
    <col min="11525" max="11525" width="17" customWidth="1"/>
    <col min="11526" max="11526" width="15.85546875" customWidth="1"/>
    <col min="11527" max="11527" width="15.7109375" customWidth="1"/>
    <col min="11528" max="11528" width="16.85546875" customWidth="1"/>
    <col min="11529" max="11529" width="17.28515625" customWidth="1"/>
    <col min="11530" max="11530" width="19.28515625" customWidth="1"/>
    <col min="11531" max="11531" width="18.85546875" customWidth="1"/>
    <col min="11532" max="11532" width="19.7109375" customWidth="1"/>
    <col min="11533" max="11533" width="9.5703125" customWidth="1"/>
    <col min="11777" max="11777" width="6.85546875" bestFit="1" customWidth="1"/>
    <col min="11778" max="11778" width="58.140625" customWidth="1"/>
    <col min="11779" max="11779" width="14.28515625" customWidth="1"/>
    <col min="11780" max="11780" width="0" hidden="1" customWidth="1"/>
    <col min="11781" max="11781" width="17" customWidth="1"/>
    <col min="11782" max="11782" width="15.85546875" customWidth="1"/>
    <col min="11783" max="11783" width="15.7109375" customWidth="1"/>
    <col min="11784" max="11784" width="16.85546875" customWidth="1"/>
    <col min="11785" max="11785" width="17.28515625" customWidth="1"/>
    <col min="11786" max="11786" width="19.28515625" customWidth="1"/>
    <col min="11787" max="11787" width="18.85546875" customWidth="1"/>
    <col min="11788" max="11788" width="19.7109375" customWidth="1"/>
    <col min="11789" max="11789" width="9.5703125" customWidth="1"/>
    <col min="12033" max="12033" width="6.85546875" bestFit="1" customWidth="1"/>
    <col min="12034" max="12034" width="58.140625" customWidth="1"/>
    <col min="12035" max="12035" width="14.28515625" customWidth="1"/>
    <col min="12036" max="12036" width="0" hidden="1" customWidth="1"/>
    <col min="12037" max="12037" width="17" customWidth="1"/>
    <col min="12038" max="12038" width="15.85546875" customWidth="1"/>
    <col min="12039" max="12039" width="15.7109375" customWidth="1"/>
    <col min="12040" max="12040" width="16.85546875" customWidth="1"/>
    <col min="12041" max="12041" width="17.28515625" customWidth="1"/>
    <col min="12042" max="12042" width="19.28515625" customWidth="1"/>
    <col min="12043" max="12043" width="18.85546875" customWidth="1"/>
    <col min="12044" max="12044" width="19.7109375" customWidth="1"/>
    <col min="12045" max="12045" width="9.5703125" customWidth="1"/>
    <col min="12289" max="12289" width="6.85546875" bestFit="1" customWidth="1"/>
    <col min="12290" max="12290" width="58.140625" customWidth="1"/>
    <col min="12291" max="12291" width="14.28515625" customWidth="1"/>
    <col min="12292" max="12292" width="0" hidden="1" customWidth="1"/>
    <col min="12293" max="12293" width="17" customWidth="1"/>
    <col min="12294" max="12294" width="15.85546875" customWidth="1"/>
    <col min="12295" max="12295" width="15.7109375" customWidth="1"/>
    <col min="12296" max="12296" width="16.85546875" customWidth="1"/>
    <col min="12297" max="12297" width="17.28515625" customWidth="1"/>
    <col min="12298" max="12298" width="19.28515625" customWidth="1"/>
    <col min="12299" max="12299" width="18.85546875" customWidth="1"/>
    <col min="12300" max="12300" width="19.7109375" customWidth="1"/>
    <col min="12301" max="12301" width="9.5703125" customWidth="1"/>
    <col min="12545" max="12545" width="6.85546875" bestFit="1" customWidth="1"/>
    <col min="12546" max="12546" width="58.140625" customWidth="1"/>
    <col min="12547" max="12547" width="14.28515625" customWidth="1"/>
    <col min="12548" max="12548" width="0" hidden="1" customWidth="1"/>
    <col min="12549" max="12549" width="17" customWidth="1"/>
    <col min="12550" max="12550" width="15.85546875" customWidth="1"/>
    <col min="12551" max="12551" width="15.7109375" customWidth="1"/>
    <col min="12552" max="12552" width="16.85546875" customWidth="1"/>
    <col min="12553" max="12553" width="17.28515625" customWidth="1"/>
    <col min="12554" max="12554" width="19.28515625" customWidth="1"/>
    <col min="12555" max="12555" width="18.85546875" customWidth="1"/>
    <col min="12556" max="12556" width="19.7109375" customWidth="1"/>
    <col min="12557" max="12557" width="9.5703125" customWidth="1"/>
    <col min="12801" max="12801" width="6.85546875" bestFit="1" customWidth="1"/>
    <col min="12802" max="12802" width="58.140625" customWidth="1"/>
    <col min="12803" max="12803" width="14.28515625" customWidth="1"/>
    <col min="12804" max="12804" width="0" hidden="1" customWidth="1"/>
    <col min="12805" max="12805" width="17" customWidth="1"/>
    <col min="12806" max="12806" width="15.85546875" customWidth="1"/>
    <col min="12807" max="12807" width="15.7109375" customWidth="1"/>
    <col min="12808" max="12808" width="16.85546875" customWidth="1"/>
    <col min="12809" max="12809" width="17.28515625" customWidth="1"/>
    <col min="12810" max="12810" width="19.28515625" customWidth="1"/>
    <col min="12811" max="12811" width="18.85546875" customWidth="1"/>
    <col min="12812" max="12812" width="19.7109375" customWidth="1"/>
    <col min="12813" max="12813" width="9.5703125" customWidth="1"/>
    <col min="13057" max="13057" width="6.85546875" bestFit="1" customWidth="1"/>
    <col min="13058" max="13058" width="58.140625" customWidth="1"/>
    <col min="13059" max="13059" width="14.28515625" customWidth="1"/>
    <col min="13060" max="13060" width="0" hidden="1" customWidth="1"/>
    <col min="13061" max="13061" width="17" customWidth="1"/>
    <col min="13062" max="13062" width="15.85546875" customWidth="1"/>
    <col min="13063" max="13063" width="15.7109375" customWidth="1"/>
    <col min="13064" max="13064" width="16.85546875" customWidth="1"/>
    <col min="13065" max="13065" width="17.28515625" customWidth="1"/>
    <col min="13066" max="13066" width="19.28515625" customWidth="1"/>
    <col min="13067" max="13067" width="18.85546875" customWidth="1"/>
    <col min="13068" max="13068" width="19.7109375" customWidth="1"/>
    <col min="13069" max="13069" width="9.5703125" customWidth="1"/>
    <col min="13313" max="13313" width="6.85546875" bestFit="1" customWidth="1"/>
    <col min="13314" max="13314" width="58.140625" customWidth="1"/>
    <col min="13315" max="13315" width="14.28515625" customWidth="1"/>
    <col min="13316" max="13316" width="0" hidden="1" customWidth="1"/>
    <col min="13317" max="13317" width="17" customWidth="1"/>
    <col min="13318" max="13318" width="15.85546875" customWidth="1"/>
    <col min="13319" max="13319" width="15.7109375" customWidth="1"/>
    <col min="13320" max="13320" width="16.85546875" customWidth="1"/>
    <col min="13321" max="13321" width="17.28515625" customWidth="1"/>
    <col min="13322" max="13322" width="19.28515625" customWidth="1"/>
    <col min="13323" max="13323" width="18.85546875" customWidth="1"/>
    <col min="13324" max="13324" width="19.7109375" customWidth="1"/>
    <col min="13325" max="13325" width="9.5703125" customWidth="1"/>
    <col min="13569" max="13569" width="6.85546875" bestFit="1" customWidth="1"/>
    <col min="13570" max="13570" width="58.140625" customWidth="1"/>
    <col min="13571" max="13571" width="14.28515625" customWidth="1"/>
    <col min="13572" max="13572" width="0" hidden="1" customWidth="1"/>
    <col min="13573" max="13573" width="17" customWidth="1"/>
    <col min="13574" max="13574" width="15.85546875" customWidth="1"/>
    <col min="13575" max="13575" width="15.7109375" customWidth="1"/>
    <col min="13576" max="13576" width="16.85546875" customWidth="1"/>
    <col min="13577" max="13577" width="17.28515625" customWidth="1"/>
    <col min="13578" max="13578" width="19.28515625" customWidth="1"/>
    <col min="13579" max="13579" width="18.85546875" customWidth="1"/>
    <col min="13580" max="13580" width="19.7109375" customWidth="1"/>
    <col min="13581" max="13581" width="9.5703125" customWidth="1"/>
    <col min="13825" max="13825" width="6.85546875" bestFit="1" customWidth="1"/>
    <col min="13826" max="13826" width="58.140625" customWidth="1"/>
    <col min="13827" max="13827" width="14.28515625" customWidth="1"/>
    <col min="13828" max="13828" width="0" hidden="1" customWidth="1"/>
    <col min="13829" max="13829" width="17" customWidth="1"/>
    <col min="13830" max="13830" width="15.85546875" customWidth="1"/>
    <col min="13831" max="13831" width="15.7109375" customWidth="1"/>
    <col min="13832" max="13832" width="16.85546875" customWidth="1"/>
    <col min="13833" max="13833" width="17.28515625" customWidth="1"/>
    <col min="13834" max="13834" width="19.28515625" customWidth="1"/>
    <col min="13835" max="13835" width="18.85546875" customWidth="1"/>
    <col min="13836" max="13836" width="19.7109375" customWidth="1"/>
    <col min="13837" max="13837" width="9.5703125" customWidth="1"/>
    <col min="14081" max="14081" width="6.85546875" bestFit="1" customWidth="1"/>
    <col min="14082" max="14082" width="58.140625" customWidth="1"/>
    <col min="14083" max="14083" width="14.28515625" customWidth="1"/>
    <col min="14084" max="14084" width="0" hidden="1" customWidth="1"/>
    <col min="14085" max="14085" width="17" customWidth="1"/>
    <col min="14086" max="14086" width="15.85546875" customWidth="1"/>
    <col min="14087" max="14087" width="15.7109375" customWidth="1"/>
    <col min="14088" max="14088" width="16.85546875" customWidth="1"/>
    <col min="14089" max="14089" width="17.28515625" customWidth="1"/>
    <col min="14090" max="14090" width="19.28515625" customWidth="1"/>
    <col min="14091" max="14091" width="18.85546875" customWidth="1"/>
    <col min="14092" max="14092" width="19.7109375" customWidth="1"/>
    <col min="14093" max="14093" width="9.5703125" customWidth="1"/>
    <col min="14337" max="14337" width="6.85546875" bestFit="1" customWidth="1"/>
    <col min="14338" max="14338" width="58.140625" customWidth="1"/>
    <col min="14339" max="14339" width="14.28515625" customWidth="1"/>
    <col min="14340" max="14340" width="0" hidden="1" customWidth="1"/>
    <col min="14341" max="14341" width="17" customWidth="1"/>
    <col min="14342" max="14342" width="15.85546875" customWidth="1"/>
    <col min="14343" max="14343" width="15.7109375" customWidth="1"/>
    <col min="14344" max="14344" width="16.85546875" customWidth="1"/>
    <col min="14345" max="14345" width="17.28515625" customWidth="1"/>
    <col min="14346" max="14346" width="19.28515625" customWidth="1"/>
    <col min="14347" max="14347" width="18.85546875" customWidth="1"/>
    <col min="14348" max="14348" width="19.7109375" customWidth="1"/>
    <col min="14349" max="14349" width="9.5703125" customWidth="1"/>
    <col min="14593" max="14593" width="6.85546875" bestFit="1" customWidth="1"/>
    <col min="14594" max="14594" width="58.140625" customWidth="1"/>
    <col min="14595" max="14595" width="14.28515625" customWidth="1"/>
    <col min="14596" max="14596" width="0" hidden="1" customWidth="1"/>
    <col min="14597" max="14597" width="17" customWidth="1"/>
    <col min="14598" max="14598" width="15.85546875" customWidth="1"/>
    <col min="14599" max="14599" width="15.7109375" customWidth="1"/>
    <col min="14600" max="14600" width="16.85546875" customWidth="1"/>
    <col min="14601" max="14601" width="17.28515625" customWidth="1"/>
    <col min="14602" max="14602" width="19.28515625" customWidth="1"/>
    <col min="14603" max="14603" width="18.85546875" customWidth="1"/>
    <col min="14604" max="14604" width="19.7109375" customWidth="1"/>
    <col min="14605" max="14605" width="9.5703125" customWidth="1"/>
    <col min="14849" max="14849" width="6.85546875" bestFit="1" customWidth="1"/>
    <col min="14850" max="14850" width="58.140625" customWidth="1"/>
    <col min="14851" max="14851" width="14.28515625" customWidth="1"/>
    <col min="14852" max="14852" width="0" hidden="1" customWidth="1"/>
    <col min="14853" max="14853" width="17" customWidth="1"/>
    <col min="14854" max="14854" width="15.85546875" customWidth="1"/>
    <col min="14855" max="14855" width="15.7109375" customWidth="1"/>
    <col min="14856" max="14856" width="16.85546875" customWidth="1"/>
    <col min="14857" max="14857" width="17.28515625" customWidth="1"/>
    <col min="14858" max="14858" width="19.28515625" customWidth="1"/>
    <col min="14859" max="14859" width="18.85546875" customWidth="1"/>
    <col min="14860" max="14860" width="19.7109375" customWidth="1"/>
    <col min="14861" max="14861" width="9.5703125" customWidth="1"/>
    <col min="15105" max="15105" width="6.85546875" bestFit="1" customWidth="1"/>
    <col min="15106" max="15106" width="58.140625" customWidth="1"/>
    <col min="15107" max="15107" width="14.28515625" customWidth="1"/>
    <col min="15108" max="15108" width="0" hidden="1" customWidth="1"/>
    <col min="15109" max="15109" width="17" customWidth="1"/>
    <col min="15110" max="15110" width="15.85546875" customWidth="1"/>
    <col min="15111" max="15111" width="15.7109375" customWidth="1"/>
    <col min="15112" max="15112" width="16.85546875" customWidth="1"/>
    <col min="15113" max="15113" width="17.28515625" customWidth="1"/>
    <col min="15114" max="15114" width="19.28515625" customWidth="1"/>
    <col min="15115" max="15115" width="18.85546875" customWidth="1"/>
    <col min="15116" max="15116" width="19.7109375" customWidth="1"/>
    <col min="15117" max="15117" width="9.5703125" customWidth="1"/>
    <col min="15361" max="15361" width="6.85546875" bestFit="1" customWidth="1"/>
    <col min="15362" max="15362" width="58.140625" customWidth="1"/>
    <col min="15363" max="15363" width="14.28515625" customWidth="1"/>
    <col min="15364" max="15364" width="0" hidden="1" customWidth="1"/>
    <col min="15365" max="15365" width="17" customWidth="1"/>
    <col min="15366" max="15366" width="15.85546875" customWidth="1"/>
    <col min="15367" max="15367" width="15.7109375" customWidth="1"/>
    <col min="15368" max="15368" width="16.85546875" customWidth="1"/>
    <col min="15369" max="15369" width="17.28515625" customWidth="1"/>
    <col min="15370" max="15370" width="19.28515625" customWidth="1"/>
    <col min="15371" max="15371" width="18.85546875" customWidth="1"/>
    <col min="15372" max="15372" width="19.7109375" customWidth="1"/>
    <col min="15373" max="15373" width="9.5703125" customWidth="1"/>
    <col min="15617" max="15617" width="6.85546875" bestFit="1" customWidth="1"/>
    <col min="15618" max="15618" width="58.140625" customWidth="1"/>
    <col min="15619" max="15619" width="14.28515625" customWidth="1"/>
    <col min="15620" max="15620" width="0" hidden="1" customWidth="1"/>
    <col min="15621" max="15621" width="17" customWidth="1"/>
    <col min="15622" max="15622" width="15.85546875" customWidth="1"/>
    <col min="15623" max="15623" width="15.7109375" customWidth="1"/>
    <col min="15624" max="15624" width="16.85546875" customWidth="1"/>
    <col min="15625" max="15625" width="17.28515625" customWidth="1"/>
    <col min="15626" max="15626" width="19.28515625" customWidth="1"/>
    <col min="15627" max="15627" width="18.85546875" customWidth="1"/>
    <col min="15628" max="15628" width="19.7109375" customWidth="1"/>
    <col min="15629" max="15629" width="9.5703125" customWidth="1"/>
    <col min="15873" max="15873" width="6.85546875" bestFit="1" customWidth="1"/>
    <col min="15874" max="15874" width="58.140625" customWidth="1"/>
    <col min="15875" max="15875" width="14.28515625" customWidth="1"/>
    <col min="15876" max="15876" width="0" hidden="1" customWidth="1"/>
    <col min="15877" max="15877" width="17" customWidth="1"/>
    <col min="15878" max="15878" width="15.85546875" customWidth="1"/>
    <col min="15879" max="15879" width="15.7109375" customWidth="1"/>
    <col min="15880" max="15880" width="16.85546875" customWidth="1"/>
    <col min="15881" max="15881" width="17.28515625" customWidth="1"/>
    <col min="15882" max="15882" width="19.28515625" customWidth="1"/>
    <col min="15883" max="15883" width="18.85546875" customWidth="1"/>
    <col min="15884" max="15884" width="19.7109375" customWidth="1"/>
    <col min="15885" max="15885" width="9.5703125" customWidth="1"/>
    <col min="16129" max="16129" width="6.85546875" bestFit="1" customWidth="1"/>
    <col min="16130" max="16130" width="58.140625" customWidth="1"/>
    <col min="16131" max="16131" width="14.28515625" customWidth="1"/>
    <col min="16132" max="16132" width="0" hidden="1" customWidth="1"/>
    <col min="16133" max="16133" width="17" customWidth="1"/>
    <col min="16134" max="16134" width="15.85546875" customWidth="1"/>
    <col min="16135" max="16135" width="15.7109375" customWidth="1"/>
    <col min="16136" max="16136" width="16.85546875" customWidth="1"/>
    <col min="16137" max="16137" width="17.28515625" customWidth="1"/>
    <col min="16138" max="16138" width="19.28515625" customWidth="1"/>
    <col min="16139" max="16139" width="18.85546875" customWidth="1"/>
    <col min="16140" max="16140" width="19.7109375" customWidth="1"/>
    <col min="16141" max="16141" width="9.5703125" customWidth="1"/>
  </cols>
  <sheetData>
    <row r="1" spans="1:16" ht="15.75">
      <c r="J1" s="737"/>
      <c r="K1" s="737"/>
      <c r="L1" s="737" t="s">
        <v>785</v>
      </c>
    </row>
    <row r="2" spans="1:16" ht="15.75">
      <c r="J2" s="737"/>
      <c r="K2" s="737"/>
      <c r="L2" s="737" t="s">
        <v>786</v>
      </c>
    </row>
    <row r="3" spans="1:16" ht="15.75">
      <c r="J3" s="737"/>
      <c r="K3" s="737"/>
      <c r="L3" s="737" t="s">
        <v>294</v>
      </c>
    </row>
    <row r="4" spans="1:16" ht="15.75">
      <c r="J4" s="737"/>
      <c r="K4" s="737"/>
      <c r="L4" s="737" t="s">
        <v>787</v>
      </c>
    </row>
    <row r="5" spans="1:16" ht="15.75">
      <c r="A5" s="738"/>
    </row>
    <row r="6" spans="1:16" ht="15.75">
      <c r="A6" s="3507" t="s">
        <v>788</v>
      </c>
      <c r="B6" s="3507"/>
      <c r="C6" s="3507"/>
      <c r="D6" s="3507"/>
      <c r="E6" s="3507"/>
      <c r="F6" s="3507"/>
      <c r="G6" s="3507"/>
      <c r="H6" s="3507"/>
      <c r="I6" s="3507"/>
      <c r="J6" s="3507"/>
      <c r="K6" s="3507"/>
      <c r="L6" s="3507"/>
    </row>
    <row r="7" spans="1:16" ht="15.75">
      <c r="A7" s="739"/>
    </row>
    <row r="8" spans="1:16" ht="35.25" customHeight="1">
      <c r="A8" s="3500" t="s">
        <v>0</v>
      </c>
      <c r="B8" s="3500" t="s">
        <v>1</v>
      </c>
      <c r="C8" s="3500" t="s">
        <v>789</v>
      </c>
      <c r="D8" s="740" t="s">
        <v>790</v>
      </c>
      <c r="E8" s="3558" t="s">
        <v>791</v>
      </c>
      <c r="F8" s="3558"/>
      <c r="G8" s="3558" t="s">
        <v>792</v>
      </c>
      <c r="H8" s="3558"/>
      <c r="I8" s="3558"/>
      <c r="J8" s="3558" t="s">
        <v>793</v>
      </c>
      <c r="K8" s="3558" t="s">
        <v>794</v>
      </c>
      <c r="L8" s="3558" t="s">
        <v>795</v>
      </c>
      <c r="M8" s="3515" t="s">
        <v>1058</v>
      </c>
      <c r="N8" s="3515" t="s">
        <v>1065</v>
      </c>
      <c r="O8" s="3559" t="s">
        <v>1067</v>
      </c>
    </row>
    <row r="9" spans="1:16" ht="36" customHeight="1">
      <c r="A9" s="3500"/>
      <c r="B9" s="3500"/>
      <c r="C9" s="3500"/>
      <c r="D9" s="741" t="s">
        <v>6</v>
      </c>
      <c r="E9" s="742" t="s">
        <v>796</v>
      </c>
      <c r="F9" s="743" t="s">
        <v>6</v>
      </c>
      <c r="G9" s="742" t="s">
        <v>796</v>
      </c>
      <c r="H9" s="742" t="s">
        <v>797</v>
      </c>
      <c r="I9" s="742" t="s">
        <v>798</v>
      </c>
      <c r="J9" s="3558"/>
      <c r="K9" s="3558"/>
      <c r="L9" s="3558"/>
      <c r="M9" s="3515"/>
      <c r="N9" s="3515"/>
      <c r="O9" s="3559"/>
    </row>
    <row r="10" spans="1:16" ht="15.75">
      <c r="A10" s="744">
        <v>1</v>
      </c>
      <c r="B10" s="741">
        <v>2</v>
      </c>
      <c r="C10" s="741">
        <v>3</v>
      </c>
      <c r="D10" s="741">
        <v>5</v>
      </c>
      <c r="E10" s="745">
        <v>4</v>
      </c>
      <c r="F10" s="745">
        <v>5</v>
      </c>
      <c r="G10" s="745">
        <v>6</v>
      </c>
      <c r="H10" s="745">
        <v>7</v>
      </c>
      <c r="I10" s="741">
        <v>8</v>
      </c>
      <c r="J10" s="741">
        <v>9</v>
      </c>
      <c r="K10" s="741">
        <v>10</v>
      </c>
      <c r="L10" s="741">
        <v>11</v>
      </c>
      <c r="M10" s="1"/>
      <c r="N10" s="1"/>
      <c r="O10">
        <f>46097.04+142+878.4+7797.69+96.43+242.9+383.51+246.74+390.96+173.55+201.44+334.92+2078.95+10.24</f>
        <v>59074.770000000004</v>
      </c>
      <c r="P10" t="s">
        <v>1066</v>
      </c>
    </row>
    <row r="11" spans="1:16" s="750" customFormat="1" ht="18.75" customHeight="1">
      <c r="A11" s="746">
        <v>1</v>
      </c>
      <c r="B11" s="747" t="s">
        <v>799</v>
      </c>
      <c r="C11" s="748"/>
      <c r="D11" s="747"/>
      <c r="E11" s="747"/>
      <c r="F11" s="749"/>
      <c r="G11" s="747"/>
      <c r="H11" s="747"/>
      <c r="I11" s="749"/>
      <c r="J11" s="747"/>
      <c r="K11" s="747"/>
      <c r="L11" s="747"/>
      <c r="M11" s="69"/>
      <c r="N11" s="69"/>
    </row>
    <row r="12" spans="1:16" ht="24" customHeight="1">
      <c r="A12" s="744" t="s">
        <v>10</v>
      </c>
      <c r="B12" s="751" t="s">
        <v>800</v>
      </c>
      <c r="C12" s="745" t="s">
        <v>801</v>
      </c>
      <c r="D12" s="752"/>
      <c r="E12" s="753">
        <v>52172.837459999995</v>
      </c>
      <c r="F12" s="752">
        <v>33507.502260000001</v>
      </c>
      <c r="G12" s="753">
        <v>48843.7</v>
      </c>
      <c r="H12" s="753">
        <v>16487.239064000001</v>
      </c>
      <c r="I12" s="754">
        <v>32463.843999999997</v>
      </c>
      <c r="J12" s="754">
        <v>31943.17</v>
      </c>
      <c r="K12" s="754">
        <v>31845.880999999998</v>
      </c>
      <c r="L12" s="754">
        <v>31701.423999999999</v>
      </c>
      <c r="M12" s="1312" t="e">
        <f>M36-M30</f>
        <v>#REF!</v>
      </c>
      <c r="N12" t="s">
        <v>1087</v>
      </c>
    </row>
    <row r="13" spans="1:16" ht="15.75" customHeight="1">
      <c r="A13" s="744" t="s">
        <v>12</v>
      </c>
      <c r="B13" s="755" t="s">
        <v>802</v>
      </c>
      <c r="C13" s="745" t="s">
        <v>801</v>
      </c>
      <c r="D13" s="752"/>
      <c r="E13" s="752"/>
      <c r="F13" s="754">
        <v>33306.951000000001</v>
      </c>
      <c r="G13" s="756"/>
      <c r="H13" s="754">
        <v>16374.858064000002</v>
      </c>
      <c r="I13" s="754">
        <v>32239.081999999999</v>
      </c>
      <c r="J13" s="754">
        <v>31732.55</v>
      </c>
      <c r="K13" s="754">
        <v>31634.880999999998</v>
      </c>
      <c r="L13" s="754">
        <v>31490.023999999998</v>
      </c>
      <c r="M13" s="1"/>
      <c r="N13" s="1"/>
    </row>
    <row r="14" spans="1:16" ht="15.75">
      <c r="A14" s="744" t="s">
        <v>14</v>
      </c>
      <c r="B14" s="755" t="s">
        <v>803</v>
      </c>
      <c r="C14" s="745" t="s">
        <v>801</v>
      </c>
      <c r="D14" s="752"/>
      <c r="E14" s="752"/>
      <c r="F14" s="754">
        <v>200.55099999999999</v>
      </c>
      <c r="G14" s="756"/>
      <c r="H14" s="754">
        <v>112.381</v>
      </c>
      <c r="I14" s="754">
        <v>224.762</v>
      </c>
      <c r="J14" s="754">
        <v>210.62</v>
      </c>
      <c r="K14" s="754">
        <v>211</v>
      </c>
      <c r="L14" s="754">
        <v>211.4</v>
      </c>
      <c r="M14" s="1"/>
      <c r="N14" s="1"/>
    </row>
    <row r="15" spans="1:16" ht="23.25" customHeight="1">
      <c r="A15" s="744" t="s">
        <v>18</v>
      </c>
      <c r="B15" s="751" t="s">
        <v>804</v>
      </c>
      <c r="C15" s="745" t="s">
        <v>801</v>
      </c>
      <c r="D15" s="752"/>
      <c r="E15" s="752"/>
      <c r="F15" s="754">
        <f>F16+F17+F20+F21+F22</f>
        <v>33507.502260000001</v>
      </c>
      <c r="G15" s="754"/>
      <c r="H15" s="754">
        <f>H16+H17+H20+H21+H22</f>
        <v>16487.239064000001</v>
      </c>
      <c r="I15" s="754">
        <f>I16+I17+I20+I21+I22</f>
        <v>32463.844000000001</v>
      </c>
      <c r="J15" s="754">
        <f>J16+J17+J20+J21+J22</f>
        <v>31943.17</v>
      </c>
      <c r="K15" s="754">
        <f>K16+K17+K20+K21+K22</f>
        <v>31845.880999999994</v>
      </c>
      <c r="L15" s="754">
        <f>L16+L17+L20+L21+L22</f>
        <v>31701.423999999999</v>
      </c>
      <c r="M15" s="1312" t="e">
        <f>M12</f>
        <v>#REF!</v>
      </c>
      <c r="N15" s="1"/>
    </row>
    <row r="16" spans="1:16" ht="15.75">
      <c r="A16" s="744" t="s">
        <v>20</v>
      </c>
      <c r="B16" s="755" t="s">
        <v>805</v>
      </c>
      <c r="C16" s="745" t="s">
        <v>801</v>
      </c>
      <c r="D16" s="752"/>
      <c r="E16" s="752"/>
      <c r="F16" s="754">
        <v>34.550290000000004</v>
      </c>
      <c r="G16" s="754">
        <v>24</v>
      </c>
      <c r="H16" s="754">
        <v>34.18</v>
      </c>
      <c r="I16" s="754">
        <v>68.36</v>
      </c>
      <c r="J16" s="754">
        <v>70.2</v>
      </c>
      <c r="K16" s="754">
        <v>72.45</v>
      </c>
      <c r="L16" s="754">
        <v>74.3</v>
      </c>
      <c r="M16" s="1312">
        <f>J16</f>
        <v>70.2</v>
      </c>
      <c r="N16" s="1"/>
    </row>
    <row r="17" spans="1:14" ht="15.75">
      <c r="A17" s="744" t="s">
        <v>24</v>
      </c>
      <c r="B17" s="755" t="s">
        <v>806</v>
      </c>
      <c r="C17" s="745" t="s">
        <v>801</v>
      </c>
      <c r="D17" s="752"/>
      <c r="E17" s="752"/>
      <c r="F17" s="754">
        <v>176.916</v>
      </c>
      <c r="G17" s="756"/>
      <c r="H17" s="754">
        <v>87.730947945205486</v>
      </c>
      <c r="I17" s="754">
        <v>176.916</v>
      </c>
      <c r="J17" s="754">
        <v>176.916</v>
      </c>
      <c r="K17" s="754">
        <v>177.4</v>
      </c>
      <c r="L17" s="754">
        <v>176.916</v>
      </c>
      <c r="M17" s="1312" t="e">
        <f>M15-M16</f>
        <v>#REF!</v>
      </c>
      <c r="N17" s="1"/>
    </row>
    <row r="18" spans="1:14" s="762" customFormat="1" ht="15.75">
      <c r="A18" s="757" t="s">
        <v>191</v>
      </c>
      <c r="B18" s="758" t="s">
        <v>807</v>
      </c>
      <c r="C18" s="759" t="s">
        <v>801</v>
      </c>
      <c r="D18" s="760"/>
      <c r="E18" s="760"/>
      <c r="F18" s="761"/>
      <c r="G18" s="761"/>
      <c r="H18" s="761"/>
      <c r="I18" s="761"/>
      <c r="J18" s="761"/>
      <c r="K18" s="761"/>
      <c r="L18" s="761"/>
      <c r="M18" s="40"/>
      <c r="N18" s="40"/>
    </row>
    <row r="19" spans="1:14" s="762" customFormat="1" ht="15.75">
      <c r="A19" s="757" t="s">
        <v>192</v>
      </c>
      <c r="B19" s="758" t="s">
        <v>808</v>
      </c>
      <c r="C19" s="759" t="s">
        <v>801</v>
      </c>
      <c r="D19" s="760"/>
      <c r="E19" s="760"/>
      <c r="F19" s="761"/>
      <c r="G19" s="761"/>
      <c r="H19" s="761"/>
      <c r="I19" s="761"/>
      <c r="J19" s="761"/>
      <c r="K19" s="761"/>
      <c r="L19" s="761"/>
      <c r="M19" s="40"/>
      <c r="N19" s="40"/>
    </row>
    <row r="20" spans="1:14" ht="15.75">
      <c r="A20" s="744" t="s">
        <v>23</v>
      </c>
      <c r="B20" s="755" t="s">
        <v>809</v>
      </c>
      <c r="C20" s="745" t="s">
        <v>801</v>
      </c>
      <c r="D20" s="752"/>
      <c r="E20" s="752"/>
      <c r="F20" s="756"/>
      <c r="G20" s="756"/>
      <c r="H20" s="756"/>
      <c r="I20" s="756"/>
      <c r="J20" s="756"/>
      <c r="K20" s="756"/>
      <c r="L20" s="756"/>
      <c r="M20" s="1"/>
      <c r="N20" s="1"/>
    </row>
    <row r="21" spans="1:14" ht="15.75">
      <c r="A21" s="744" t="s">
        <v>26</v>
      </c>
      <c r="B21" s="755" t="s">
        <v>810</v>
      </c>
      <c r="C21" s="745" t="s">
        <v>801</v>
      </c>
      <c r="D21" s="752"/>
      <c r="E21" s="752"/>
      <c r="F21" s="754">
        <v>26603.766350000002</v>
      </c>
      <c r="G21" s="756"/>
      <c r="H21" s="754">
        <v>12998.07833</v>
      </c>
      <c r="I21" s="754">
        <v>26075.972999999998</v>
      </c>
      <c r="J21" s="754">
        <v>25033.859</v>
      </c>
      <c r="K21" s="754">
        <v>25137.738999999998</v>
      </c>
      <c r="L21" s="754">
        <v>25113.133999999998</v>
      </c>
      <c r="M21" s="1"/>
      <c r="N21" s="1"/>
    </row>
    <row r="22" spans="1:14" ht="15.75">
      <c r="A22" s="744" t="s">
        <v>27</v>
      </c>
      <c r="B22" s="755" t="s">
        <v>811</v>
      </c>
      <c r="C22" s="745" t="s">
        <v>801</v>
      </c>
      <c r="D22" s="752"/>
      <c r="E22" s="752"/>
      <c r="F22" s="754">
        <f>SUM(F23:F24)</f>
        <v>6692.26962</v>
      </c>
      <c r="G22" s="756"/>
      <c r="H22" s="754">
        <f>SUM(H23:H24)</f>
        <v>3367.2497860547946</v>
      </c>
      <c r="I22" s="754">
        <f>SUM(I23:I24)</f>
        <v>6142.5950000000003</v>
      </c>
      <c r="J22" s="754">
        <f>SUM(J23:J24)</f>
        <v>6662.1949999999997</v>
      </c>
      <c r="K22" s="754">
        <f>SUM(K23:K24)</f>
        <v>6458.2919999999995</v>
      </c>
      <c r="L22" s="754">
        <f>SUM(L23:L24)</f>
        <v>6337.0739999999996</v>
      </c>
      <c r="M22" s="1"/>
      <c r="N22" s="1"/>
    </row>
    <row r="23" spans="1:14" s="762" customFormat="1" ht="15.75">
      <c r="A23" s="757" t="s">
        <v>812</v>
      </c>
      <c r="B23" s="758" t="s">
        <v>813</v>
      </c>
      <c r="C23" s="759" t="s">
        <v>801</v>
      </c>
      <c r="D23" s="760"/>
      <c r="E23" s="760"/>
      <c r="F23" s="763">
        <v>1247.0930000000001</v>
      </c>
      <c r="G23" s="761"/>
      <c r="H23" s="763">
        <v>606.04676500000005</v>
      </c>
      <c r="I23" s="763">
        <v>1172.8900000000001</v>
      </c>
      <c r="J23" s="763">
        <v>1141.4860000000001</v>
      </c>
      <c r="K23" s="763">
        <v>1102.67</v>
      </c>
      <c r="L23" s="763">
        <v>1080.0899999999999</v>
      </c>
      <c r="M23" s="40"/>
      <c r="N23" s="40"/>
    </row>
    <row r="24" spans="1:14" s="762" customFormat="1" ht="17.25" customHeight="1">
      <c r="A24" s="757" t="s">
        <v>814</v>
      </c>
      <c r="B24" s="758" t="s">
        <v>815</v>
      </c>
      <c r="C24" s="759" t="s">
        <v>801</v>
      </c>
      <c r="D24" s="760"/>
      <c r="E24" s="760"/>
      <c r="F24" s="763">
        <v>5445.1766200000002</v>
      </c>
      <c r="G24" s="761"/>
      <c r="H24" s="763">
        <v>2761.2030210547946</v>
      </c>
      <c r="I24" s="763">
        <v>4969.7049999999999</v>
      </c>
      <c r="J24" s="763">
        <v>5520.7089999999998</v>
      </c>
      <c r="K24" s="763">
        <v>5355.6219999999994</v>
      </c>
      <c r="L24" s="763">
        <v>5256.9839999999995</v>
      </c>
      <c r="M24" s="40"/>
      <c r="N24" s="40"/>
    </row>
    <row r="25" spans="1:14" ht="18.75" customHeight="1">
      <c r="A25" s="744" t="s">
        <v>30</v>
      </c>
      <c r="B25" s="751" t="s">
        <v>816</v>
      </c>
      <c r="C25" s="745" t="s">
        <v>801</v>
      </c>
      <c r="D25" s="752"/>
      <c r="E25" s="752"/>
      <c r="F25" s="754">
        <f>F26+F28</f>
        <v>33507.502260000001</v>
      </c>
      <c r="G25" s="756"/>
      <c r="H25" s="754">
        <f>H26+H28</f>
        <v>16521.421999999999</v>
      </c>
      <c r="I25" s="754">
        <f>I26+I28</f>
        <v>32463.843999999997</v>
      </c>
      <c r="J25" s="754">
        <f>J26+J28</f>
        <v>31943.17</v>
      </c>
      <c r="K25" s="754">
        <f>K26+K28</f>
        <v>31845.880999999998</v>
      </c>
      <c r="L25" s="754">
        <f>L26+L28</f>
        <v>31701.423999999999</v>
      </c>
      <c r="M25" s="1385" t="e">
        <f>M17-M33</f>
        <v>#REF!</v>
      </c>
      <c r="N25" s="1"/>
    </row>
    <row r="26" spans="1:14" ht="36" customHeight="1">
      <c r="A26" s="744" t="s">
        <v>396</v>
      </c>
      <c r="B26" s="755" t="s">
        <v>817</v>
      </c>
      <c r="C26" s="745" t="s">
        <v>801</v>
      </c>
      <c r="D26" s="752"/>
      <c r="E26" s="752"/>
      <c r="F26" s="754">
        <f>F27</f>
        <v>1886.2329999999999</v>
      </c>
      <c r="G26" s="756"/>
      <c r="H26" s="754">
        <f>H27</f>
        <v>888.149</v>
      </c>
      <c r="I26" s="754">
        <f>I27</f>
        <v>1776.298</v>
      </c>
      <c r="J26" s="754">
        <f>J27</f>
        <v>1547.5350000000001</v>
      </c>
      <c r="K26" s="754">
        <f>K27</f>
        <v>1551.53</v>
      </c>
      <c r="L26" s="754">
        <f>L27</f>
        <v>1547.5350000000001</v>
      </c>
      <c r="M26" s="1" t="s">
        <v>1088</v>
      </c>
      <c r="N26" s="1"/>
    </row>
    <row r="27" spans="1:14" s="762" customFormat="1" ht="15.75">
      <c r="A27" s="757" t="s">
        <v>818</v>
      </c>
      <c r="B27" s="758" t="s">
        <v>819</v>
      </c>
      <c r="C27" s="759" t="s">
        <v>801</v>
      </c>
      <c r="D27" s="760"/>
      <c r="E27" s="760"/>
      <c r="F27" s="763">
        <v>1886.2329999999999</v>
      </c>
      <c r="G27" s="761"/>
      <c r="H27" s="763">
        <v>888.149</v>
      </c>
      <c r="I27" s="763">
        <v>1776.298</v>
      </c>
      <c r="J27" s="763">
        <v>1547.5350000000001</v>
      </c>
      <c r="K27" s="763">
        <v>1551.53</v>
      </c>
      <c r="L27" s="763">
        <v>1547.5350000000001</v>
      </c>
      <c r="M27" s="40"/>
      <c r="N27" s="1392" t="e">
        <f>M36-M30-M16-2500</f>
        <v>#REF!</v>
      </c>
    </row>
    <row r="28" spans="1:14" ht="15.75">
      <c r="A28" s="744" t="s">
        <v>397</v>
      </c>
      <c r="B28" s="755" t="s">
        <v>820</v>
      </c>
      <c r="C28" s="745" t="s">
        <v>801</v>
      </c>
      <c r="D28" s="752"/>
      <c r="E28" s="752"/>
      <c r="F28" s="754">
        <v>31621.269260000001</v>
      </c>
      <c r="G28" s="756"/>
      <c r="H28" s="754">
        <v>15633.272999999999</v>
      </c>
      <c r="I28" s="754">
        <v>30687.545999999998</v>
      </c>
      <c r="J28" s="754">
        <v>30395.634999999998</v>
      </c>
      <c r="K28" s="754">
        <v>30294.350999999999</v>
      </c>
      <c r="L28" s="754">
        <v>30153.888999999999</v>
      </c>
      <c r="M28" s="1"/>
      <c r="N28" s="1"/>
    </row>
    <row r="29" spans="1:14" ht="23.25" customHeight="1">
      <c r="A29" s="744" t="s">
        <v>255</v>
      </c>
      <c r="B29" s="751" t="s">
        <v>821</v>
      </c>
      <c r="C29" s="745" t="s">
        <v>801</v>
      </c>
      <c r="D29" s="752"/>
      <c r="E29" s="752"/>
      <c r="F29" s="754">
        <f>F36-F12</f>
        <v>21636.400830000006</v>
      </c>
      <c r="G29" s="754"/>
      <c r="H29" s="754">
        <f>H36-H12</f>
        <v>11372.861015999999</v>
      </c>
      <c r="I29" s="754">
        <f>I36-I12</f>
        <v>23354.654000000002</v>
      </c>
      <c r="J29" s="754">
        <f>J36-J12</f>
        <v>23025.892999000003</v>
      </c>
      <c r="K29" s="754">
        <f>K36-K12</f>
        <v>23080.83700000001</v>
      </c>
      <c r="L29" s="754">
        <f>L36-L12</f>
        <v>22947.47099999999</v>
      </c>
      <c r="M29" s="1312" t="e">
        <f>M30+M31</f>
        <v>#REF!</v>
      </c>
      <c r="N29" s="1"/>
    </row>
    <row r="30" spans="1:14" s="767" customFormat="1" ht="36" customHeight="1">
      <c r="A30" s="764" t="s">
        <v>35</v>
      </c>
      <c r="B30" s="755" t="s">
        <v>822</v>
      </c>
      <c r="C30" s="765" t="s">
        <v>801</v>
      </c>
      <c r="D30" s="752"/>
      <c r="E30" s="766">
        <v>2552.3048836065573</v>
      </c>
      <c r="F30" s="766">
        <v>3077.3822500000001</v>
      </c>
      <c r="G30" s="766">
        <v>3600</v>
      </c>
      <c r="H30" s="766">
        <v>2129.471</v>
      </c>
      <c r="I30" s="766">
        <v>3964.2649999999999</v>
      </c>
      <c r="J30" s="766">
        <v>3636.9229989999999</v>
      </c>
      <c r="K30" s="766">
        <v>3638.4060000000004</v>
      </c>
      <c r="L30" s="766">
        <v>3620.4349999999999</v>
      </c>
      <c r="M30" s="1313" t="e">
        <f>#REF!</f>
        <v>#REF!</v>
      </c>
      <c r="N30" s="1304"/>
    </row>
    <row r="31" spans="1:14" ht="15.75" customHeight="1">
      <c r="A31" s="744" t="s">
        <v>37</v>
      </c>
      <c r="B31" s="755" t="s">
        <v>823</v>
      </c>
      <c r="C31" s="745" t="s">
        <v>801</v>
      </c>
      <c r="D31" s="752"/>
      <c r="E31" s="752"/>
      <c r="F31" s="754">
        <f>F29-F30</f>
        <v>18559.018580000007</v>
      </c>
      <c r="G31" s="754"/>
      <c r="H31" s="754">
        <f>H29-H30</f>
        <v>9243.3900159999994</v>
      </c>
      <c r="I31" s="754">
        <f>I29-I30</f>
        <v>19390.389000000003</v>
      </c>
      <c r="J31" s="754">
        <f>J29-J30</f>
        <v>19388.970000000005</v>
      </c>
      <c r="K31" s="754">
        <f>K29-K30</f>
        <v>19442.431000000011</v>
      </c>
      <c r="L31" s="754">
        <f>L29-L30</f>
        <v>19327.035999999989</v>
      </c>
      <c r="M31" s="1312">
        <f>M32+M33</f>
        <v>13954.133</v>
      </c>
      <c r="N31" s="1"/>
    </row>
    <row r="32" spans="1:14" s="772" customFormat="1" ht="31.5" customHeight="1">
      <c r="A32" s="768" t="s">
        <v>824</v>
      </c>
      <c r="B32" s="769" t="s">
        <v>825</v>
      </c>
      <c r="C32" s="770" t="s">
        <v>801</v>
      </c>
      <c r="D32" s="771"/>
      <c r="E32" s="771" t="s">
        <v>826</v>
      </c>
      <c r="F32" s="771">
        <v>10984.666999999999</v>
      </c>
      <c r="G32" s="771" t="s">
        <v>826</v>
      </c>
      <c r="H32" s="771">
        <v>5623.1986999999999</v>
      </c>
      <c r="I32" s="771">
        <v>11354.172</v>
      </c>
      <c r="J32" s="771">
        <v>11354.133</v>
      </c>
      <c r="K32" s="771">
        <v>11386.162</v>
      </c>
      <c r="L32" s="771">
        <v>11374.687</v>
      </c>
      <c r="M32" s="1309">
        <f>J32</f>
        <v>11354.133</v>
      </c>
      <c r="N32" s="1305"/>
    </row>
    <row r="33" spans="1:14" s="779" customFormat="1" ht="15.75">
      <c r="A33" s="773" t="s">
        <v>827</v>
      </c>
      <c r="B33" s="774" t="s">
        <v>828</v>
      </c>
      <c r="C33" s="775" t="s">
        <v>801</v>
      </c>
      <c r="D33" s="776"/>
      <c r="E33" s="776"/>
      <c r="F33" s="777">
        <f>F31-F32</f>
        <v>7574.3515800000077</v>
      </c>
      <c r="G33" s="778"/>
      <c r="H33" s="777">
        <f>H31-H32</f>
        <v>3620.1913159999995</v>
      </c>
      <c r="I33" s="777">
        <f>I31-I32</f>
        <v>8036.2170000000024</v>
      </c>
      <c r="J33" s="777">
        <f>J31-J32</f>
        <v>8034.837000000005</v>
      </c>
      <c r="K33" s="777">
        <f>K31-K32</f>
        <v>8056.2690000000111</v>
      </c>
      <c r="L33" s="777">
        <f>L31-L32</f>
        <v>7952.3489999999892</v>
      </c>
      <c r="M33" s="1356">
        <v>2600</v>
      </c>
      <c r="N33" s="1306" t="s">
        <v>1089</v>
      </c>
    </row>
    <row r="34" spans="1:14" ht="15.75">
      <c r="A34" s="744" t="s">
        <v>40</v>
      </c>
      <c r="B34" s="780" t="s">
        <v>829</v>
      </c>
      <c r="C34" s="745" t="s">
        <v>801</v>
      </c>
      <c r="D34" s="752"/>
      <c r="E34" s="752" t="s">
        <v>830</v>
      </c>
      <c r="F34" s="754" t="s">
        <v>830</v>
      </c>
      <c r="G34" s="754" t="s">
        <v>830</v>
      </c>
      <c r="H34" s="754" t="s">
        <v>830</v>
      </c>
      <c r="I34" s="754" t="s">
        <v>830</v>
      </c>
      <c r="J34" s="754" t="s">
        <v>830</v>
      </c>
      <c r="K34" s="754" t="s">
        <v>830</v>
      </c>
      <c r="L34" s="754" t="s">
        <v>830</v>
      </c>
      <c r="M34" s="1"/>
      <c r="N34" s="1"/>
    </row>
    <row r="35" spans="1:14" s="784" customFormat="1" ht="24" customHeight="1">
      <c r="A35" s="746">
        <v>2</v>
      </c>
      <c r="B35" s="781" t="s">
        <v>831</v>
      </c>
      <c r="C35" s="782" t="s">
        <v>801</v>
      </c>
      <c r="D35" s="783"/>
      <c r="E35" s="783"/>
      <c r="F35" s="783">
        <f>F36-F30</f>
        <v>52066.520840000005</v>
      </c>
      <c r="G35" s="783"/>
      <c r="H35" s="783">
        <f>H36-H30</f>
        <v>25730.629079999999</v>
      </c>
      <c r="I35" s="783">
        <f>I36-I30</f>
        <v>51854.233</v>
      </c>
      <c r="J35" s="783">
        <f>J36-J30</f>
        <v>51332.14</v>
      </c>
      <c r="K35" s="783">
        <f>K36-K30</f>
        <v>51288.312000000005</v>
      </c>
      <c r="L35" s="783">
        <f>L36-L30</f>
        <v>51028.459999999992</v>
      </c>
      <c r="M35" s="1310">
        <f>J35</f>
        <v>51332.14</v>
      </c>
      <c r="N35" s="1307"/>
    </row>
    <row r="36" spans="1:14" s="779" customFormat="1" ht="15.75">
      <c r="A36" s="785"/>
      <c r="B36" s="786" t="s">
        <v>832</v>
      </c>
      <c r="C36" s="775"/>
      <c r="D36" s="776"/>
      <c r="E36" s="776"/>
      <c r="F36" s="776">
        <v>55143.903090000007</v>
      </c>
      <c r="G36" s="776"/>
      <c r="H36" s="776">
        <v>27860.10008</v>
      </c>
      <c r="I36" s="776">
        <v>55818.498</v>
      </c>
      <c r="J36" s="776">
        <v>54969.062999000002</v>
      </c>
      <c r="K36" s="776">
        <v>54926.718000000008</v>
      </c>
      <c r="L36" s="776">
        <v>54648.89499999999</v>
      </c>
      <c r="M36" s="1314">
        <f>J36</f>
        <v>54969.062999000002</v>
      </c>
      <c r="N36" s="1306"/>
    </row>
    <row r="37" spans="1:14" s="790" customFormat="1" ht="19.5" customHeight="1">
      <c r="A37" s="787" t="s">
        <v>52</v>
      </c>
      <c r="B37" s="788" t="s">
        <v>833</v>
      </c>
      <c r="C37" s="743" t="s">
        <v>801</v>
      </c>
      <c r="D37" s="789"/>
      <c r="E37" s="753"/>
      <c r="F37" s="753">
        <f>F35-F38-F39</f>
        <v>50365.868600000002</v>
      </c>
      <c r="G37" s="753"/>
      <c r="H37" s="753">
        <f>H35-H38-H39</f>
        <v>24900.143999999997</v>
      </c>
      <c r="I37" s="753">
        <f>I35-I38-I39</f>
        <v>50173.63</v>
      </c>
      <c r="J37" s="753">
        <f>J35-J38-J39</f>
        <v>49652.409999999996</v>
      </c>
      <c r="K37" s="753">
        <f>K35-K38-K39</f>
        <v>49604.712</v>
      </c>
      <c r="L37" s="753">
        <f>L35-L38-L39</f>
        <v>49350.554999999993</v>
      </c>
      <c r="M37" s="1311">
        <f>J37</f>
        <v>49652.409999999996</v>
      </c>
      <c r="N37" s="35"/>
    </row>
    <row r="38" spans="1:14" ht="15.75">
      <c r="A38" s="744" t="s">
        <v>54</v>
      </c>
      <c r="B38" s="751" t="s">
        <v>834</v>
      </c>
      <c r="C38" s="745" t="s">
        <v>801</v>
      </c>
      <c r="D38" s="752"/>
      <c r="E38" s="754">
        <v>73.290000000000006</v>
      </c>
      <c r="F38" s="754">
        <v>79.534239999999983</v>
      </c>
      <c r="G38" s="754">
        <v>78.658999999999992</v>
      </c>
      <c r="H38" s="754">
        <v>36.836080000000003</v>
      </c>
      <c r="I38" s="754">
        <v>80.078000000000003</v>
      </c>
      <c r="J38" s="754">
        <v>79.204999999999998</v>
      </c>
      <c r="K38" s="754">
        <v>78.69</v>
      </c>
      <c r="L38" s="754">
        <v>77.38</v>
      </c>
      <c r="M38" s="1312">
        <f>J38</f>
        <v>79.204999999999998</v>
      </c>
      <c r="N38" s="1"/>
    </row>
    <row r="39" spans="1:14" s="796" customFormat="1" ht="15.75" hidden="1" customHeight="1">
      <c r="A39" s="791" t="s">
        <v>56</v>
      </c>
      <c r="B39" s="792" t="s">
        <v>835</v>
      </c>
      <c r="C39" s="793"/>
      <c r="D39" s="794"/>
      <c r="E39" s="795"/>
      <c r="F39" s="795">
        <v>1621.1180000000002</v>
      </c>
      <c r="G39" s="795"/>
      <c r="H39" s="795">
        <v>793.649</v>
      </c>
      <c r="I39" s="795">
        <v>1600.5249999999999</v>
      </c>
      <c r="J39" s="795">
        <v>1600.5249999999999</v>
      </c>
      <c r="K39" s="795">
        <v>1604.9099999999999</v>
      </c>
      <c r="L39" s="795">
        <v>1600.5249999999999</v>
      </c>
      <c r="M39" s="1308"/>
      <c r="N39" s="1308"/>
    </row>
    <row r="40" spans="1:14" s="750" customFormat="1" ht="33.75" customHeight="1">
      <c r="A40" s="746">
        <v>3</v>
      </c>
      <c r="B40" s="747" t="s">
        <v>836</v>
      </c>
      <c r="C40" s="797" t="s">
        <v>801</v>
      </c>
      <c r="D40" s="783">
        <f t="shared" ref="D40:L40" si="0">D41</f>
        <v>51246.078000000001</v>
      </c>
      <c r="E40" s="783">
        <f t="shared" si="0"/>
        <v>52187.337459999995</v>
      </c>
      <c r="F40" s="783">
        <f t="shared" si="0"/>
        <v>51100.227850000003</v>
      </c>
      <c r="G40" s="783">
        <f t="shared" si="0"/>
        <v>51002.469999999994</v>
      </c>
      <c r="H40" s="783">
        <f t="shared" si="0"/>
        <v>25291.550999999996</v>
      </c>
      <c r="I40" s="783">
        <f t="shared" si="0"/>
        <v>50975.899999999994</v>
      </c>
      <c r="J40" s="783">
        <f t="shared" si="0"/>
        <v>50506.144999999997</v>
      </c>
      <c r="K40" s="783">
        <f t="shared" si="0"/>
        <v>50458.956000000006</v>
      </c>
      <c r="L40" s="783">
        <f t="shared" si="0"/>
        <v>50200.639999999992</v>
      </c>
      <c r="M40" s="429">
        <f>J40</f>
        <v>50506.144999999997</v>
      </c>
      <c r="N40" s="69"/>
    </row>
    <row r="41" spans="1:14" ht="21" customHeight="1">
      <c r="A41" s="744" t="s">
        <v>64</v>
      </c>
      <c r="B41" s="798" t="s">
        <v>837</v>
      </c>
      <c r="C41" s="799" t="s">
        <v>801</v>
      </c>
      <c r="D41" s="752">
        <v>51246.078000000001</v>
      </c>
      <c r="E41" s="754">
        <v>52187.337459999995</v>
      </c>
      <c r="F41" s="754">
        <v>51100.227850000003</v>
      </c>
      <c r="G41" s="754">
        <v>51002.469999999994</v>
      </c>
      <c r="H41" s="754">
        <v>25291.550999999996</v>
      </c>
      <c r="I41" s="754">
        <v>50975.899999999994</v>
      </c>
      <c r="J41" s="754">
        <v>50506.144999999997</v>
      </c>
      <c r="K41" s="754">
        <v>50458.956000000006</v>
      </c>
      <c r="L41" s="754">
        <v>50200.639999999992</v>
      </c>
      <c r="M41" s="1312">
        <f>J41</f>
        <v>50506.144999999997</v>
      </c>
      <c r="N41" s="1"/>
    </row>
    <row r="42" spans="1:14" ht="28.5" customHeight="1">
      <c r="A42" s="744" t="s">
        <v>80</v>
      </c>
      <c r="B42" s="798" t="s">
        <v>838</v>
      </c>
      <c r="C42" s="799" t="s">
        <v>801</v>
      </c>
      <c r="D42" s="752"/>
      <c r="E42" s="800"/>
      <c r="F42" s="753">
        <v>48468.966999999997</v>
      </c>
      <c r="G42" s="801"/>
      <c r="H42" s="753">
        <v>24178.560000000001</v>
      </c>
      <c r="I42" s="753">
        <v>48373.375</v>
      </c>
      <c r="J42" s="753">
        <v>48366.805</v>
      </c>
      <c r="K42" s="753">
        <v>48363.353999999999</v>
      </c>
      <c r="L42" s="753">
        <v>48353.665999999997</v>
      </c>
      <c r="M42" s="1"/>
      <c r="N42" s="1"/>
    </row>
    <row r="43" spans="1:14" s="750" customFormat="1" ht="23.25" customHeight="1">
      <c r="A43" s="746">
        <v>4</v>
      </c>
      <c r="B43" s="747" t="s">
        <v>839</v>
      </c>
      <c r="C43" s="797" t="s">
        <v>801</v>
      </c>
      <c r="D43" s="802"/>
      <c r="E43" s="803"/>
      <c r="F43" s="804">
        <v>431.24</v>
      </c>
      <c r="G43" s="805"/>
      <c r="H43" s="804">
        <v>253.06</v>
      </c>
      <c r="I43" s="804">
        <v>506.12</v>
      </c>
      <c r="J43" s="804">
        <v>506.12</v>
      </c>
      <c r="K43" s="804">
        <v>507.50599999999997</v>
      </c>
      <c r="L43" s="804">
        <v>506.12</v>
      </c>
      <c r="M43" s="69"/>
      <c r="N43" s="69"/>
    </row>
    <row r="44" spans="1:14" s="750" customFormat="1" ht="35.25" customHeight="1">
      <c r="A44" s="746">
        <v>5</v>
      </c>
      <c r="B44" s="747" t="s">
        <v>840</v>
      </c>
      <c r="C44" s="797" t="s">
        <v>280</v>
      </c>
      <c r="D44" s="806"/>
      <c r="E44" s="806"/>
      <c r="F44" s="807"/>
      <c r="G44" s="808"/>
      <c r="H44" s="808"/>
      <c r="I44" s="809"/>
      <c r="J44" s="810">
        <f>(F40-D40)/F40</f>
        <v>-2.8541976452263196E-3</v>
      </c>
      <c r="K44" s="810">
        <f>AVERAGE((I40-F40)/F40,(F40-D40)/D40)</f>
        <v>-2.6395469352475443E-3</v>
      </c>
      <c r="L44" s="810">
        <f>AVERAGE((J40-I40)/I40,(I40-F40)/F40,(F40-D40)/D40)</f>
        <v>-4.8314436248826599E-3</v>
      </c>
      <c r="M44" s="69"/>
      <c r="N44" s="69"/>
    </row>
    <row r="45" spans="1:14" s="811" customFormat="1" ht="15.75">
      <c r="N45" s="812"/>
    </row>
    <row r="46" spans="1:14" s="811" customFormat="1" ht="21" customHeight="1">
      <c r="A46" s="3499" t="s">
        <v>841</v>
      </c>
      <c r="B46" s="3499"/>
      <c r="K46" s="812" t="s">
        <v>842</v>
      </c>
      <c r="N46" s="812"/>
    </row>
    <row r="47" spans="1:14" s="811" customFormat="1" ht="21" customHeight="1">
      <c r="A47" s="3499" t="s">
        <v>843</v>
      </c>
      <c r="B47" s="3499"/>
      <c r="K47" s="812" t="s">
        <v>844</v>
      </c>
      <c r="N47" s="812"/>
    </row>
  </sheetData>
  <mergeCells count="14">
    <mergeCell ref="M8:M9"/>
    <mergeCell ref="N8:N9"/>
    <mergeCell ref="O8:O9"/>
    <mergeCell ref="A46:B46"/>
    <mergeCell ref="A47:B47"/>
    <mergeCell ref="A6:L6"/>
    <mergeCell ref="A8:A9"/>
    <mergeCell ref="B8:B9"/>
    <mergeCell ref="C8:C9"/>
    <mergeCell ref="E8:F8"/>
    <mergeCell ref="G8:I8"/>
    <mergeCell ref="J8:J9"/>
    <mergeCell ref="K8:K9"/>
    <mergeCell ref="L8:L9"/>
  </mergeCells>
  <printOptions horizontalCentered="1"/>
  <pageMargins left="0.11811023622047245" right="0" top="0.47244094488188981" bottom="0.23622047244094491" header="0.31496062992125984" footer="0.15748031496062992"/>
  <pageSetup paperSize="9" scale="6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121"/>
  <sheetViews>
    <sheetView topLeftCell="A77" zoomScale="90" zoomScaleNormal="90" zoomScaleSheetLayoutView="90" workbookViewId="0">
      <selection activeCell="J84" sqref="J84"/>
    </sheetView>
  </sheetViews>
  <sheetFormatPr defaultRowHeight="15"/>
  <cols>
    <col min="1" max="1" width="6.28515625" customWidth="1"/>
    <col min="2" max="2" width="30.28515625" customWidth="1"/>
    <col min="3" max="3" width="10.85546875" customWidth="1"/>
    <col min="4" max="4" width="12.85546875" customWidth="1"/>
    <col min="5" max="5" width="12.140625" customWidth="1"/>
    <col min="6" max="6" width="12.85546875" customWidth="1"/>
    <col min="7" max="7" width="11.7109375" customWidth="1"/>
    <col min="8" max="8" width="12.85546875" customWidth="1"/>
    <col min="9" max="9" width="14.140625" customWidth="1"/>
    <col min="10" max="10" width="14.42578125" customWidth="1"/>
    <col min="11" max="11" width="15.140625" hidden="1" customWidth="1"/>
    <col min="12" max="12" width="13.5703125" hidden="1" customWidth="1"/>
    <col min="13" max="13" width="13.7109375" customWidth="1"/>
    <col min="14" max="14" width="12.28515625" customWidth="1"/>
    <col min="15" max="15" width="13.42578125" customWidth="1"/>
    <col min="16" max="16" width="13.5703125" customWidth="1"/>
  </cols>
  <sheetData>
    <row r="1" spans="1:15">
      <c r="H1" s="2434">
        <f>H85*0.2</f>
        <v>2851.7241937956296</v>
      </c>
      <c r="I1" s="2434">
        <f t="shared" ref="I1:L1" si="0">I85*0.2</f>
        <v>5710.9527299712809</v>
      </c>
      <c r="J1" s="2434">
        <f t="shared" si="0"/>
        <v>7129.4319184833485</v>
      </c>
      <c r="K1" s="2434">
        <f t="shared" si="0"/>
        <v>8813.6490648970412</v>
      </c>
      <c r="L1" s="2434">
        <f t="shared" si="0"/>
        <v>8268.6866095251316</v>
      </c>
    </row>
    <row r="2" spans="1:15">
      <c r="B2" s="358" t="s">
        <v>1268</v>
      </c>
      <c r="C2" s="380"/>
      <c r="D2" s="380"/>
      <c r="E2" s="380"/>
    </row>
    <row r="3" spans="1:15">
      <c r="A3" s="3430" t="s">
        <v>518</v>
      </c>
      <c r="B3" s="3430"/>
      <c r="C3" s="3430"/>
      <c r="D3" s="3430"/>
      <c r="E3" s="3430"/>
      <c r="F3" s="3430"/>
      <c r="G3" s="3430"/>
      <c r="H3" s="3430"/>
      <c r="I3" s="3430"/>
      <c r="J3" s="3430"/>
      <c r="K3" s="349"/>
      <c r="L3" s="349"/>
    </row>
    <row r="4" spans="1:15" ht="15.75" thickBot="1">
      <c r="A4" s="349"/>
      <c r="B4" s="155" t="s">
        <v>375</v>
      </c>
      <c r="C4" s="3562" t="s">
        <v>1102</v>
      </c>
      <c r="D4" s="3562"/>
      <c r="E4" s="3562"/>
      <c r="F4" s="3562"/>
      <c r="G4" s="349"/>
      <c r="H4" s="1966"/>
      <c r="I4" s="1966"/>
      <c r="J4" s="349"/>
      <c r="K4" s="349"/>
      <c r="L4" s="349"/>
    </row>
    <row r="5" spans="1:15" ht="15.75" thickBot="1">
      <c r="A5" s="3389" t="s">
        <v>0</v>
      </c>
      <c r="B5" s="3389" t="s">
        <v>1</v>
      </c>
      <c r="C5" s="3389" t="s">
        <v>2</v>
      </c>
      <c r="D5" s="3432" t="s">
        <v>165</v>
      </c>
      <c r="E5" s="3433"/>
      <c r="F5" s="3433"/>
      <c r="G5" s="3433"/>
      <c r="H5" s="3433"/>
      <c r="I5" s="3433"/>
      <c r="J5" s="3433"/>
      <c r="K5" s="3433"/>
      <c r="L5" s="3434"/>
      <c r="M5" s="3432" t="s">
        <v>166</v>
      </c>
      <c r="N5" s="3433"/>
      <c r="O5" s="3434"/>
    </row>
    <row r="6" spans="1:15" ht="15.75" customHeight="1" thickBot="1">
      <c r="A6" s="3401"/>
      <c r="B6" s="3401"/>
      <c r="C6" s="3401"/>
      <c r="D6" s="3458">
        <v>2014</v>
      </c>
      <c r="E6" s="3458"/>
      <c r="F6" s="3418">
        <v>2015</v>
      </c>
      <c r="G6" s="3560"/>
      <c r="H6" s="3420" t="s">
        <v>1375</v>
      </c>
      <c r="I6" s="3420" t="s">
        <v>1379</v>
      </c>
      <c r="J6" s="3389" t="s">
        <v>392</v>
      </c>
      <c r="K6" s="3561" t="s">
        <v>393</v>
      </c>
      <c r="L6" s="3389" t="s">
        <v>1297</v>
      </c>
      <c r="M6" s="3563" t="s">
        <v>392</v>
      </c>
      <c r="N6" s="3565" t="s">
        <v>393</v>
      </c>
      <c r="O6" s="3389" t="s">
        <v>1297</v>
      </c>
    </row>
    <row r="7" spans="1:15" ht="48" customHeight="1" thickBot="1">
      <c r="A7" s="3390"/>
      <c r="B7" s="3390"/>
      <c r="C7" s="3390"/>
      <c r="D7" s="555" t="s">
        <v>966</v>
      </c>
      <c r="E7" s="4" t="s">
        <v>6</v>
      </c>
      <c r="F7" s="555" t="s">
        <v>966</v>
      </c>
      <c r="G7" s="1265" t="s">
        <v>8</v>
      </c>
      <c r="H7" s="3421"/>
      <c r="I7" s="3421"/>
      <c r="J7" s="3390"/>
      <c r="K7" s="3557"/>
      <c r="L7" s="3390"/>
      <c r="M7" s="3564"/>
      <c r="N7" s="3388"/>
      <c r="O7" s="3390"/>
    </row>
    <row r="8" spans="1:15" ht="15.75" thickBot="1">
      <c r="A8" s="32">
        <v>1</v>
      </c>
      <c r="B8" s="1266">
        <v>2</v>
      </c>
      <c r="C8" s="1266">
        <v>3</v>
      </c>
      <c r="D8" s="1266">
        <v>4</v>
      </c>
      <c r="E8" s="1266">
        <v>5</v>
      </c>
      <c r="F8" s="388">
        <v>6</v>
      </c>
      <c r="G8" s="51">
        <v>7</v>
      </c>
      <c r="H8" s="2007"/>
      <c r="I8" s="2007"/>
      <c r="J8" s="392">
        <v>8</v>
      </c>
      <c r="K8" s="218">
        <v>9</v>
      </c>
      <c r="L8" s="218">
        <v>10</v>
      </c>
      <c r="M8" s="389">
        <v>11</v>
      </c>
      <c r="N8" s="220">
        <v>12</v>
      </c>
      <c r="O8" s="220">
        <v>13</v>
      </c>
    </row>
    <row r="9" spans="1:15" ht="15.75" hidden="1" customHeight="1" thickBot="1">
      <c r="A9" s="221"/>
      <c r="B9" s="5"/>
      <c r="C9" s="5"/>
      <c r="D9" s="5"/>
      <c r="E9" s="5"/>
      <c r="F9" s="387"/>
      <c r="G9" s="222"/>
      <c r="H9" s="560"/>
      <c r="I9" s="560"/>
      <c r="J9" s="381"/>
      <c r="K9" s="391"/>
      <c r="L9" s="222"/>
      <c r="M9" s="390"/>
      <c r="N9" s="217"/>
      <c r="O9" s="136"/>
    </row>
    <row r="10" spans="1:15" ht="15.75" thickBot="1">
      <c r="A10" s="6">
        <v>1</v>
      </c>
      <c r="B10" s="7" t="s">
        <v>9</v>
      </c>
      <c r="C10" s="7"/>
      <c r="D10" s="837">
        <f>D11+D15+D21+D23+D26+D27+D28+0.8</f>
        <v>163318.763041964</v>
      </c>
      <c r="E10" s="837">
        <f t="shared" ref="E10:G10" si="1">E11+E15+E21+E23+E26+E27+E28</f>
        <v>205244.78929391</v>
      </c>
      <c r="F10" s="838">
        <f>F11+F15+F21+F23+F26+F27+F28-0.01</f>
        <v>296662.075907727</v>
      </c>
      <c r="G10" s="839">
        <f t="shared" si="1"/>
        <v>283635.82501629891</v>
      </c>
      <c r="H10" s="839">
        <f t="shared" ref="H10:I10" si="2">H11+H15+H21+H23+H26+H27+H28</f>
        <v>117117.64063980414</v>
      </c>
      <c r="I10" s="839">
        <f t="shared" si="2"/>
        <v>290261.5857210611</v>
      </c>
      <c r="J10" s="839">
        <f>J11+J15+J21++J22+J23+J26+J27+J28</f>
        <v>457671.8482095619</v>
      </c>
      <c r="K10" s="839">
        <f t="shared" ref="K10:L10" si="3">K11+K15+K21++K22+K23+K26+K27+K28</f>
        <v>388989.52017279738</v>
      </c>
      <c r="L10" s="839">
        <f t="shared" si="3"/>
        <v>401761.6933003185</v>
      </c>
      <c r="M10" s="839">
        <f>M11+M15+M21+M23+M26+M27+M28</f>
        <v>331265.5907475666</v>
      </c>
      <c r="N10" s="842">
        <v>0</v>
      </c>
      <c r="O10" s="840">
        <v>0</v>
      </c>
    </row>
    <row r="11" spans="1:15" ht="39" thickBot="1">
      <c r="A11" s="1211" t="s">
        <v>10</v>
      </c>
      <c r="B11" s="147" t="s">
        <v>144</v>
      </c>
      <c r="C11" s="148" t="s">
        <v>11</v>
      </c>
      <c r="D11" s="843">
        <f>D12+D13+D14-0.1</f>
        <v>7870.4990490000009</v>
      </c>
      <c r="E11" s="843">
        <f t="shared" ref="E11:O11" si="4">E12+E13+E14</f>
        <v>8944.2979337440884</v>
      </c>
      <c r="F11" s="844">
        <f t="shared" si="4"/>
        <v>9513.007988169531</v>
      </c>
      <c r="G11" s="845">
        <f t="shared" si="4"/>
        <v>9305.4413749725591</v>
      </c>
      <c r="H11" s="845">
        <f t="shared" ref="H11:I11" si="5">H12+H13+H14</f>
        <v>9265.254544881087</v>
      </c>
      <c r="I11" s="845">
        <f t="shared" si="5"/>
        <v>18492.309198843795</v>
      </c>
      <c r="J11" s="845">
        <f t="shared" si="4"/>
        <v>17499.431830990339</v>
      </c>
      <c r="K11" s="845">
        <f t="shared" si="4"/>
        <v>18251.907399722921</v>
      </c>
      <c r="L11" s="845">
        <f t="shared" si="4"/>
        <v>19040.138909921297</v>
      </c>
      <c r="M11" s="847">
        <f t="shared" si="4"/>
        <v>8870.2345625732014</v>
      </c>
      <c r="N11" s="848">
        <f t="shared" si="4"/>
        <v>0</v>
      </c>
      <c r="O11" s="846">
        <f t="shared" si="4"/>
        <v>0</v>
      </c>
    </row>
    <row r="12" spans="1:15" ht="15.75" thickTop="1">
      <c r="A12" s="1148" t="s">
        <v>12</v>
      </c>
      <c r="B12" s="10" t="s">
        <v>13</v>
      </c>
      <c r="C12" s="11" t="s">
        <v>11</v>
      </c>
      <c r="D12" s="849">
        <f>'расшифровки ВО_2016'!D32</f>
        <v>300.38600000000002</v>
      </c>
      <c r="E12" s="849">
        <f>'расшифровки ВО_2016'!E32</f>
        <v>201.41520000000003</v>
      </c>
      <c r="F12" s="849">
        <f>'расшифровки ВО_2016'!F32</f>
        <v>269.23088639999997</v>
      </c>
      <c r="G12" s="849">
        <f>'расшифровки ВО_2016'!G32</f>
        <v>187.6224</v>
      </c>
      <c r="H12" s="849">
        <f>'расшифровки ВО_2016'!H32</f>
        <v>107.08320000000001</v>
      </c>
      <c r="I12" s="849">
        <f>'расшифровки ВО_2016'!I32</f>
        <v>232.61280000000002</v>
      </c>
      <c r="J12" s="849">
        <f>'расшифровки ВО_2016'!J32</f>
        <v>258.49454400000002</v>
      </c>
      <c r="K12" s="849">
        <f>'расшифровки ВО_2016'!K32</f>
        <v>269.60980939200005</v>
      </c>
      <c r="L12" s="849">
        <f>'расшифровки ВО_2016'!L32</f>
        <v>282.90277720099999</v>
      </c>
      <c r="M12" s="853">
        <f>'расшифровки ВО_2016'!Q32</f>
        <v>253.79464320000002</v>
      </c>
      <c r="N12" s="854">
        <f>'расшифровки ВО_2016'!T32</f>
        <v>0</v>
      </c>
      <c r="O12" s="852">
        <f>'расшифровки ВО_2016'!U32</f>
        <v>0</v>
      </c>
    </row>
    <row r="13" spans="1:15">
      <c r="A13" s="1148" t="s">
        <v>14</v>
      </c>
      <c r="B13" s="12" t="s">
        <v>15</v>
      </c>
      <c r="C13" s="11" t="s">
        <v>11</v>
      </c>
      <c r="D13" s="447">
        <f>'расшифровки ВО_2016'!D46</f>
        <v>5052.7230490000011</v>
      </c>
      <c r="E13" s="447">
        <f>'расшифровки ВО_2016'!E46</f>
        <v>5196.7401605920886</v>
      </c>
      <c r="F13" s="447">
        <f>'расшифровки ВО_2016'!F46</f>
        <v>5203.360887402132</v>
      </c>
      <c r="G13" s="447">
        <f>'расшифровки ВО_2016'!G46</f>
        <v>5465.2921246259993</v>
      </c>
      <c r="H13" s="447">
        <f>'расшифровки ВО_2016'!H46</f>
        <v>3145.1639770405436</v>
      </c>
      <c r="I13" s="447">
        <f>'расшифровки ВО_2016'!I46</f>
        <v>6353.2312336218984</v>
      </c>
      <c r="J13" s="447">
        <f>'расшифровки ВО_2016'!J46</f>
        <v>5711.2302702341694</v>
      </c>
      <c r="K13" s="447">
        <f>'расшифровки ВО_2016'!K46</f>
        <v>5956.8131718542381</v>
      </c>
      <c r="L13" s="447">
        <f>'расшифровки ВО_2016'!L46</f>
        <v>6212.9561382439706</v>
      </c>
      <c r="M13" s="856">
        <f>'расшифровки ВО_2016'!Q46</f>
        <v>5704.4620190852011</v>
      </c>
      <c r="N13" s="857">
        <f>'расшифровки ВО_2016'!T46</f>
        <v>0</v>
      </c>
      <c r="O13" s="855">
        <f>'расшифровки ВО_2016'!U46</f>
        <v>0</v>
      </c>
    </row>
    <row r="14" spans="1:15" ht="26.25" thickBot="1">
      <c r="A14" s="1212" t="s">
        <v>16</v>
      </c>
      <c r="B14" s="150" t="s">
        <v>17</v>
      </c>
      <c r="C14" s="151" t="s">
        <v>11</v>
      </c>
      <c r="D14" s="858">
        <f>'расшифровки ВО_2016'!D57</f>
        <v>2517.4899999999998</v>
      </c>
      <c r="E14" s="858">
        <f>'расшифровки ВО_2016'!E57</f>
        <v>3546.1425731519994</v>
      </c>
      <c r="F14" s="858">
        <f>'расшифровки ВО_2016'!F62</f>
        <v>4040.4162143674002</v>
      </c>
      <c r="G14" s="858">
        <f>'расшифровки ВО_2016'!G57</f>
        <v>3652.5268503465595</v>
      </c>
      <c r="H14" s="858">
        <f>'расшифровки ВО_2016'!H63</f>
        <v>6013.0073678405433</v>
      </c>
      <c r="I14" s="858">
        <f>'расшифровки ВО_2016'!I63</f>
        <v>11906.465165221896</v>
      </c>
      <c r="J14" s="858">
        <f>'расшифровки ВО_2016'!J63</f>
        <v>11529.707016756169</v>
      </c>
      <c r="K14" s="858">
        <f>'расшифровки ВО_2016'!K63</f>
        <v>12025.484418476683</v>
      </c>
      <c r="L14" s="858">
        <f>'расшифровки ВО_2016'!L63</f>
        <v>12544.279994476325</v>
      </c>
      <c r="M14" s="861">
        <f>'расшифровки ВО_2016'!Q62</f>
        <v>2911.977900288</v>
      </c>
      <c r="N14" s="862">
        <f>'расшифровки ВО_2016'!T56</f>
        <v>0</v>
      </c>
      <c r="O14" s="860">
        <f>'расшифровки ВО_2016'!U56</f>
        <v>0</v>
      </c>
    </row>
    <row r="15" spans="1:15" ht="27" thickTop="1" thickBot="1">
      <c r="A15" s="1211" t="s">
        <v>18</v>
      </c>
      <c r="B15" s="147" t="s">
        <v>19</v>
      </c>
      <c r="C15" s="148" t="s">
        <v>11</v>
      </c>
      <c r="D15" s="843">
        <f>D16+D17+D18+D19+D20</f>
        <v>23071.226448900004</v>
      </c>
      <c r="E15" s="843">
        <f t="shared" ref="E15:O15" si="6">E16+E17+E18+E19+E20</f>
        <v>21941.542606999999</v>
      </c>
      <c r="F15" s="844">
        <f t="shared" si="6"/>
        <v>25252.088480693881</v>
      </c>
      <c r="G15" s="845">
        <f t="shared" si="6"/>
        <v>23311.207549999999</v>
      </c>
      <c r="H15" s="845">
        <f t="shared" ref="H15:I15" si="7">H16+H17+H18+H19+H20</f>
        <v>13628.401040319999</v>
      </c>
      <c r="I15" s="845">
        <f t="shared" si="7"/>
        <v>28884.352080639997</v>
      </c>
      <c r="J15" s="845">
        <f t="shared" si="6"/>
        <v>30911.45340260824</v>
      </c>
      <c r="K15" s="845">
        <f t="shared" si="6"/>
        <v>32520.429449076968</v>
      </c>
      <c r="L15" s="845">
        <f t="shared" si="6"/>
        <v>34223.336851387277</v>
      </c>
      <c r="M15" s="865">
        <f>SUM(M16:M20)</f>
        <v>27990.549336105989</v>
      </c>
      <c r="N15" s="866">
        <f t="shared" si="6"/>
        <v>1899.7211850000003</v>
      </c>
      <c r="O15" s="867">
        <f t="shared" si="6"/>
        <v>1956.7128205500003</v>
      </c>
    </row>
    <row r="16" spans="1:15" ht="15.75" thickTop="1">
      <c r="A16" s="1148" t="s">
        <v>20</v>
      </c>
      <c r="B16" s="10" t="s">
        <v>21</v>
      </c>
      <c r="C16" s="11" t="s">
        <v>11</v>
      </c>
      <c r="D16" s="849">
        <f>'расшифровки ВО_2016'!D173-0.05</f>
        <v>19458.498000000003</v>
      </c>
      <c r="E16" s="849">
        <f>'расшифровки ВО_2016'!E173</f>
        <v>20358.698700000001</v>
      </c>
      <c r="F16" s="849">
        <f>'расшифровки ВО_2016'!F168</f>
        <v>22882.459800547746</v>
      </c>
      <c r="G16" s="849">
        <f>'расшифровки ВО_2016'!G173</f>
        <v>21048.319950000001</v>
      </c>
      <c r="H16" s="849">
        <f>'расшифровки ВО_2016'!H119</f>
        <v>12039.8</v>
      </c>
      <c r="I16" s="849">
        <f>'расшифровки ВО_2016'!I119</f>
        <v>26094.1</v>
      </c>
      <c r="J16" s="849">
        <f>'расшифровки ВО_2016'!J119</f>
        <v>27974.404999999999</v>
      </c>
      <c r="K16" s="849">
        <f>'расшифровки ВО_2016'!K119</f>
        <v>29457.047999999999</v>
      </c>
      <c r="L16" s="849">
        <f>'расшифровки ВО_2016'!L119</f>
        <v>31028.27</v>
      </c>
      <c r="M16" s="853">
        <f>'расшифровки ВО_2016'!Q122</f>
        <v>24559.579336105988</v>
      </c>
      <c r="N16" s="854">
        <v>0</v>
      </c>
      <c r="O16" s="852">
        <v>0</v>
      </c>
    </row>
    <row r="17" spans="1:15">
      <c r="A17" s="1148" t="s">
        <v>24</v>
      </c>
      <c r="B17" s="12" t="s">
        <v>22</v>
      </c>
      <c r="C17" s="11" t="s">
        <v>11</v>
      </c>
      <c r="D17" s="447">
        <f>'расшифровки ВО_2016'!D196</f>
        <v>2885.0891940000001</v>
      </c>
      <c r="E17" s="447">
        <f>'расшифровки ВО_2016'!E196</f>
        <v>1409.3519550000001</v>
      </c>
      <c r="F17" s="447">
        <f>'расшифровки ВО_2016'!F196</f>
        <v>1815.6193880000003</v>
      </c>
      <c r="G17" s="447">
        <f>'расшифровки ВО_2016'!G196</f>
        <v>1587.7639999999999</v>
      </c>
      <c r="H17" s="447">
        <f>'расшифровки ВО_2016'!H196</f>
        <v>1046.3900000000001</v>
      </c>
      <c r="I17" s="447">
        <f>'расшифровки ВО_2016'!I196</f>
        <v>1705.8299999999997</v>
      </c>
      <c r="J17" s="447">
        <f>'расшифровки ВО_2016'!J196</f>
        <v>1779.77</v>
      </c>
      <c r="K17" s="447">
        <f>'расшифровки ВО_2016'!K196</f>
        <v>1856.3400751565762</v>
      </c>
      <c r="L17" s="447">
        <f>'расшифровки ВО_2016'!L196</f>
        <v>1936.1226983883089</v>
      </c>
      <c r="M17" s="856">
        <v>1651.2</v>
      </c>
      <c r="N17" s="857">
        <f>'расшифровки ВО_2016'!R196</f>
        <v>1899.7211850000003</v>
      </c>
      <c r="O17" s="855">
        <f>'расшифровки ВО_2016'!S196</f>
        <v>1956.7128205500003</v>
      </c>
    </row>
    <row r="18" spans="1:15">
      <c r="A18" s="1148" t="s">
        <v>23</v>
      </c>
      <c r="B18" s="12" t="s">
        <v>25</v>
      </c>
      <c r="C18" s="11" t="s">
        <v>11</v>
      </c>
      <c r="D18" s="447"/>
      <c r="E18" s="447"/>
      <c r="F18" s="447"/>
      <c r="G18" s="447"/>
      <c r="H18" s="447"/>
      <c r="I18" s="447"/>
      <c r="J18" s="447"/>
      <c r="K18" s="447"/>
      <c r="L18" s="447"/>
      <c r="M18" s="856">
        <f>'расшифровки ВО_2016'!S214</f>
        <v>0</v>
      </c>
      <c r="N18" s="857">
        <f>'расшифровки ВО_2016'!T214</f>
        <v>0</v>
      </c>
      <c r="O18" s="855">
        <f>'расшифровки ВО_2016'!U214</f>
        <v>0</v>
      </c>
    </row>
    <row r="19" spans="1:15">
      <c r="A19" s="1148" t="s">
        <v>26</v>
      </c>
      <c r="B19" s="12" t="s">
        <v>28</v>
      </c>
      <c r="C19" s="11" t="s">
        <v>11</v>
      </c>
      <c r="D19" s="447">
        <f>'расшифровки ВО_2016'!D238</f>
        <v>727.63925489999997</v>
      </c>
      <c r="E19" s="447">
        <f>'расшифровки ВО_2016'!E238</f>
        <v>173.491952</v>
      </c>
      <c r="F19" s="447">
        <f>'расшифровки ВО_2016'!F238</f>
        <v>554.00929214613507</v>
      </c>
      <c r="G19" s="447">
        <f>'расшифровки ВО_2016'!G238</f>
        <v>675.1235999999999</v>
      </c>
      <c r="H19" s="447">
        <f>'расшифровки ВО_2016'!H238</f>
        <v>542.21104032000005</v>
      </c>
      <c r="I19" s="447">
        <f>'расшифровки ВО_2016'!I238</f>
        <v>1084.4220806400001</v>
      </c>
      <c r="J19" s="447">
        <f>'расшифровки ВО_2016'!J238</f>
        <v>1157.2784026082397</v>
      </c>
      <c r="K19" s="447">
        <f>'расшифровки ВО_2016'!K238</f>
        <v>1207.0413739203941</v>
      </c>
      <c r="L19" s="447">
        <f>'расшифровки ВО_2016'!L238</f>
        <v>1258.9441529989713</v>
      </c>
      <c r="M19" s="856">
        <v>1779.77</v>
      </c>
      <c r="N19" s="857">
        <f>'расшифровки ВО_2016'!T238</f>
        <v>0</v>
      </c>
      <c r="O19" s="855">
        <f>'расшифровки ВО_2016'!U238</f>
        <v>0</v>
      </c>
    </row>
    <row r="20" spans="1:15" ht="15.75" thickBot="1">
      <c r="A20" s="1212" t="s">
        <v>27</v>
      </c>
      <c r="B20" s="150" t="s">
        <v>29</v>
      </c>
      <c r="C20" s="151" t="s">
        <v>11</v>
      </c>
      <c r="D20" s="858"/>
      <c r="E20" s="858"/>
      <c r="F20" s="858"/>
      <c r="G20" s="858"/>
      <c r="H20" s="858"/>
      <c r="I20" s="858"/>
      <c r="J20" s="858"/>
      <c r="K20" s="858"/>
      <c r="L20" s="859"/>
      <c r="M20" s="861"/>
      <c r="N20" s="862">
        <f>'расшифровки ВО_2016'!T256</f>
        <v>0</v>
      </c>
      <c r="O20" s="860">
        <f>'расшифровки ВО_2016'!U256</f>
        <v>0</v>
      </c>
    </row>
    <row r="21" spans="1:15" ht="93.75" customHeight="1" thickTop="1" thickBot="1">
      <c r="A21" s="1211" t="s">
        <v>30</v>
      </c>
      <c r="B21" s="2451" t="s">
        <v>1831</v>
      </c>
      <c r="C21" s="148" t="s">
        <v>32</v>
      </c>
      <c r="D21" s="843">
        <v>2400</v>
      </c>
      <c r="E21" s="843"/>
      <c r="F21" s="843">
        <f>'расшифровки ВО_2016'!F296</f>
        <v>58804.290899999993</v>
      </c>
      <c r="G21" s="843">
        <f>'расшифровки ВО_2016'!G296</f>
        <v>52160.806530000002</v>
      </c>
      <c r="H21" s="843">
        <v>0</v>
      </c>
      <c r="I21" s="843">
        <f>'расшифровки ВО_2016'!I294</f>
        <v>50000</v>
      </c>
      <c r="J21" s="843">
        <f>J22+8349.94</f>
        <v>115901.94</v>
      </c>
      <c r="K21" s="843">
        <f>'расшифровки ВО_2016'!K294</f>
        <v>0</v>
      </c>
      <c r="L21" s="843">
        <f>'расшифровки ВО_2016'!L294</f>
        <v>0</v>
      </c>
      <c r="M21" s="865">
        <f>J21</f>
        <v>115901.94</v>
      </c>
      <c r="N21" s="866">
        <f>'расшифровки ВО_2016'!T296</f>
        <v>0</v>
      </c>
      <c r="O21" s="867">
        <f>'расшифровки ВО_2016'!U296</f>
        <v>0</v>
      </c>
    </row>
    <row r="22" spans="1:15" ht="51.75" customHeight="1" thickTop="1" thickBot="1">
      <c r="A22" s="1148" t="s">
        <v>396</v>
      </c>
      <c r="B22" s="10" t="s">
        <v>1527</v>
      </c>
      <c r="C22" s="11" t="s">
        <v>11</v>
      </c>
      <c r="D22" s="3010"/>
      <c r="E22" s="3010"/>
      <c r="F22" s="3010"/>
      <c r="G22" s="3011"/>
      <c r="H22" s="3011"/>
      <c r="I22" s="3011"/>
      <c r="J22" s="3011">
        <v>107552</v>
      </c>
      <c r="K22" s="3011">
        <f>'эксплуат. затр. по очистным'!B10</f>
        <v>157000.92379424002</v>
      </c>
      <c r="L22" s="3011">
        <f>K22*1.043</f>
        <v>163751.96351739235</v>
      </c>
      <c r="M22" s="865">
        <v>0</v>
      </c>
      <c r="N22" s="3012"/>
      <c r="O22" s="3013"/>
    </row>
    <row r="23" spans="1:15" ht="65.25" thickTop="1" thickBot="1">
      <c r="A23" s="1213" t="s">
        <v>33</v>
      </c>
      <c r="B23" s="142" t="s">
        <v>34</v>
      </c>
      <c r="C23" s="143" t="s">
        <v>11</v>
      </c>
      <c r="D23" s="868">
        <f>D24+D25</f>
        <v>75835.100000000006</v>
      </c>
      <c r="E23" s="868">
        <f t="shared" ref="E23:O23" si="8">E24+E25</f>
        <v>149280.64026493669</v>
      </c>
      <c r="F23" s="864">
        <f t="shared" si="8"/>
        <v>158289.89853886364</v>
      </c>
      <c r="G23" s="864">
        <f t="shared" si="8"/>
        <v>161683.15563136799</v>
      </c>
      <c r="H23" s="864">
        <f t="shared" ref="H23:I23" si="9">H24+H25</f>
        <v>74489.749850880005</v>
      </c>
      <c r="I23" s="864">
        <f t="shared" si="9"/>
        <v>155915.27078399999</v>
      </c>
      <c r="J23" s="864">
        <f t="shared" si="8"/>
        <v>149281.81613289504</v>
      </c>
      <c r="K23" s="864">
        <f t="shared" si="8"/>
        <v>153178.94563795993</v>
      </c>
      <c r="L23" s="864">
        <f t="shared" si="8"/>
        <v>159765.6403003922</v>
      </c>
      <c r="M23" s="870">
        <f t="shared" si="8"/>
        <v>149281.81613289504</v>
      </c>
      <c r="N23" s="871">
        <f t="shared" si="8"/>
        <v>0</v>
      </c>
      <c r="O23" s="863">
        <f t="shared" si="8"/>
        <v>0</v>
      </c>
    </row>
    <row r="24" spans="1:15" ht="27" thickTop="1" thickBot="1">
      <c r="A24" s="1148" t="s">
        <v>35</v>
      </c>
      <c r="B24" s="10" t="s">
        <v>36</v>
      </c>
      <c r="C24" s="11" t="s">
        <v>11</v>
      </c>
      <c r="D24" s="3014">
        <f>'Зар.плата осн.персонала'!D191</f>
        <v>58245.100000000006</v>
      </c>
      <c r="E24" s="829">
        <f>'Зар.плата осн.персонала'!E191</f>
        <v>114654.86963512802</v>
      </c>
      <c r="F24" s="829">
        <f>'Зар.плата осн.персонала'!F191</f>
        <v>121574.42284090909</v>
      </c>
      <c r="G24" s="829">
        <f>'Зар.плата осн.персонала'!G191</f>
        <v>124180.611084</v>
      </c>
      <c r="H24" s="829">
        <f>'Зар.плата осн.персонала'!H191</f>
        <v>57211.78944</v>
      </c>
      <c r="I24" s="829">
        <f>'Зар.плата осн.персонала'!I191</f>
        <v>119750.592</v>
      </c>
      <c r="J24" s="829">
        <f>'Зар.плата осн.персонала'!J191</f>
        <v>114655.77275952</v>
      </c>
      <c r="K24" s="829">
        <f>'Зар.плата осн.персонала'!K191</f>
        <v>117648.95978337935</v>
      </c>
      <c r="L24" s="829">
        <f>'Зар.плата осн.персонала'!L191</f>
        <v>122707.86505406466</v>
      </c>
      <c r="M24" s="873">
        <f>'Зар.плата осн.персонала'!M191</f>
        <v>114655.77275952</v>
      </c>
      <c r="N24" s="874">
        <f>'Зар.плата осн.персонала'!N191</f>
        <v>0</v>
      </c>
      <c r="O24" s="872">
        <f>'Зар.плата осн.персонала'!O191</f>
        <v>0</v>
      </c>
    </row>
    <row r="25" spans="1:15" ht="39.75" thickTop="1" thickBot="1">
      <c r="A25" s="1212" t="s">
        <v>37</v>
      </c>
      <c r="B25" s="150" t="s">
        <v>38</v>
      </c>
      <c r="C25" s="151" t="s">
        <v>11</v>
      </c>
      <c r="D25" s="3015">
        <f>'Зар.плата осн.персонала'!D193</f>
        <v>17590</v>
      </c>
      <c r="E25" s="858">
        <f>'Зар.плата осн.персонала'!E193</f>
        <v>34625.770629808663</v>
      </c>
      <c r="F25" s="858">
        <f>'Зар.плата осн.персонала'!F193</f>
        <v>36715.475697954542</v>
      </c>
      <c r="G25" s="858">
        <f>'Зар.плата осн.персонала'!G193</f>
        <v>37502.544547368001</v>
      </c>
      <c r="H25" s="858">
        <f>'Зар.плата осн.персонала'!H193</f>
        <v>17277.960410879998</v>
      </c>
      <c r="I25" s="858">
        <f>'Зар.плата осн.персонала'!I193</f>
        <v>36164.678783999996</v>
      </c>
      <c r="J25" s="858">
        <f>'Зар.плата осн.персонала'!J193</f>
        <v>34626.04337337504</v>
      </c>
      <c r="K25" s="858">
        <f>'Зар.плата осн.персонала'!K193</f>
        <v>35529.985854580562</v>
      </c>
      <c r="L25" s="858">
        <f>'Зар.плата осн.персонала'!L193</f>
        <v>37057.775246327532</v>
      </c>
      <c r="M25" s="861">
        <f>'Зар.плата осн.персонала'!M193</f>
        <v>34626.04337337504</v>
      </c>
      <c r="N25" s="862">
        <f>'Зар.плата осн.персонала'!N193</f>
        <v>0</v>
      </c>
      <c r="O25" s="860">
        <f>'Зар.плата осн.персонала'!O193</f>
        <v>0</v>
      </c>
    </row>
    <row r="26" spans="1:15" ht="27" thickTop="1" thickBot="1">
      <c r="A26" s="1211" t="s">
        <v>40</v>
      </c>
      <c r="B26" s="147" t="s">
        <v>39</v>
      </c>
      <c r="C26" s="148" t="s">
        <v>11</v>
      </c>
      <c r="D26" s="843">
        <f>'расшифровки ВО_2016'!D311-0.02</f>
        <v>4755.9975440640001</v>
      </c>
      <c r="E26" s="843">
        <f>'расшифровка кредитов'!C106</f>
        <v>4581.8544556098004</v>
      </c>
      <c r="F26" s="843">
        <v>10180.370000000001</v>
      </c>
      <c r="G26" s="843">
        <f>'расшифровки ВО_2016'!G311</f>
        <v>13109.711537338982</v>
      </c>
      <c r="H26" s="843">
        <f>'расшифровки ВО_2016'!H311</f>
        <v>5417.9869123729995</v>
      </c>
      <c r="I26" s="843">
        <f>'расшифровки ВО_2016'!I311</f>
        <v>9884.824734877162</v>
      </c>
      <c r="J26" s="843">
        <f>'расшифровки ВО_2016'!J311</f>
        <v>17046.227650000001</v>
      </c>
      <c r="K26" s="843">
        <f>'расшифровки ВО_2016'!K311</f>
        <v>7702.916512499999</v>
      </c>
      <c r="L26" s="843">
        <f>'расшифровки ВО_2016'!L311</f>
        <v>3851.4582562499995</v>
      </c>
      <c r="M26" s="870">
        <f>'расшифровки ВО_2016'!Q311</f>
        <v>17046.227650000001</v>
      </c>
      <c r="N26" s="866">
        <f>'расшифровки ВО_2016'!T311</f>
        <v>0</v>
      </c>
      <c r="O26" s="863">
        <f>'расшифровки ВО_2016'!U311</f>
        <v>0</v>
      </c>
    </row>
    <row r="27" spans="1:15" ht="16.5" thickTop="1" thickBot="1">
      <c r="A27" s="1214" t="s">
        <v>41</v>
      </c>
      <c r="B27" s="142" t="s">
        <v>391</v>
      </c>
      <c r="C27" s="143" t="s">
        <v>11</v>
      </c>
      <c r="D27" s="875">
        <f>36041+6210-3430.97-7105.11+14210.22</f>
        <v>45925.14</v>
      </c>
      <c r="E27" s="875">
        <v>14441.37</v>
      </c>
      <c r="F27" s="875">
        <v>30517.43</v>
      </c>
      <c r="G27" s="875">
        <v>15008.97</v>
      </c>
      <c r="H27" s="875">
        <f>'Цеховые расходы '!J64</f>
        <v>7553.5507701500637</v>
      </c>
      <c r="I27" s="875">
        <f>'Цеховые расходы '!K64</f>
        <v>15023.671320300129</v>
      </c>
      <c r="J27" s="875">
        <f>'Цеховые расходы '!L64</f>
        <v>15762.784213813629</v>
      </c>
      <c r="K27" s="875">
        <f>'Цеховые расходы '!M64</f>
        <v>16494.768785727618</v>
      </c>
      <c r="L27" s="875">
        <f>'Цеховые расходы '!N64</f>
        <v>17167.731179493905</v>
      </c>
      <c r="M27" s="877">
        <f>'Цеховые расходы '!O64</f>
        <v>9016.0431957204019</v>
      </c>
      <c r="N27" s="878"/>
      <c r="O27" s="876"/>
    </row>
    <row r="28" spans="1:15" ht="27" thickTop="1" thickBot="1">
      <c r="A28" s="1214" t="s">
        <v>42</v>
      </c>
      <c r="B28" s="142" t="s">
        <v>43</v>
      </c>
      <c r="C28" s="143" t="s">
        <v>11</v>
      </c>
      <c r="D28" s="868">
        <f>D29+D30+D31+D32+D33</f>
        <v>3460</v>
      </c>
      <c r="E28" s="868">
        <f t="shared" ref="E28:O28" si="10">E29+E30+E31+E32</f>
        <v>6055.0840326193938</v>
      </c>
      <c r="F28" s="869">
        <f t="shared" si="10"/>
        <v>4105</v>
      </c>
      <c r="G28" s="864">
        <f t="shared" si="10"/>
        <v>9056.5323926193942</v>
      </c>
      <c r="H28" s="864">
        <f t="shared" ref="H28:I28" si="11">H29+H30+H31+H32</f>
        <v>6762.6975212000007</v>
      </c>
      <c r="I28" s="864">
        <f t="shared" si="11"/>
        <v>12061.157602400001</v>
      </c>
      <c r="J28" s="864">
        <f t="shared" si="10"/>
        <v>3716.1949792546466</v>
      </c>
      <c r="K28" s="864">
        <f t="shared" si="10"/>
        <v>3839.6285935699461</v>
      </c>
      <c r="L28" s="864">
        <f t="shared" si="10"/>
        <v>3961.4242854814484</v>
      </c>
      <c r="M28" s="865">
        <f t="shared" si="10"/>
        <v>3158.7798702720002</v>
      </c>
      <c r="N28" s="871" t="e">
        <f t="shared" si="10"/>
        <v>#VALUE!</v>
      </c>
      <c r="O28" s="867">
        <f t="shared" si="10"/>
        <v>0</v>
      </c>
    </row>
    <row r="29" spans="1:15" ht="26.25" thickTop="1">
      <c r="A29" s="1148" t="s">
        <v>44</v>
      </c>
      <c r="B29" s="10" t="s">
        <v>1533</v>
      </c>
      <c r="C29" s="11" t="s">
        <v>11</v>
      </c>
      <c r="D29" s="849">
        <v>0</v>
      </c>
      <c r="E29" s="849">
        <f>'расшифровки ВО_2016'!E320</f>
        <v>0</v>
      </c>
      <c r="F29" s="849">
        <v>0</v>
      </c>
      <c r="G29" s="849">
        <f>'расшифровки ВО_2016'!G320</f>
        <v>0</v>
      </c>
      <c r="H29" s="849">
        <f>'расшифровки ВО_2016'!H293</f>
        <v>548.04178999999999</v>
      </c>
      <c r="I29" s="849">
        <f>'расшифровки ВО_2016'!I293</f>
        <v>1277.0371400000001</v>
      </c>
      <c r="J29" s="849">
        <f>'расшифровки ВО_2016'!J293</f>
        <v>1324.1685731999999</v>
      </c>
      <c r="K29" s="849">
        <f>'расшифровки ВО_2016'!K293</f>
        <v>1344.7450520549498</v>
      </c>
      <c r="L29" s="849">
        <f>'расшифровки ВО_2016'!L293</f>
        <v>1366.7454023058515</v>
      </c>
      <c r="M29" s="853">
        <v>0</v>
      </c>
      <c r="N29" s="854">
        <f>'расшифровки ВО_2016'!T320</f>
        <v>0</v>
      </c>
      <c r="O29" s="852">
        <f>'расшифровки ВО_2016'!U320</f>
        <v>0</v>
      </c>
    </row>
    <row r="30" spans="1:15" ht="45">
      <c r="A30" s="1148" t="s">
        <v>45</v>
      </c>
      <c r="B30" s="12" t="s">
        <v>46</v>
      </c>
      <c r="C30" s="13" t="s">
        <v>11</v>
      </c>
      <c r="D30" s="447">
        <f>'расшифровки ВО_2016'!D321</f>
        <v>2100</v>
      </c>
      <c r="E30" s="447">
        <f>'расшифровки ВО_2016'!E416</f>
        <v>3763.8710000000001</v>
      </c>
      <c r="F30" s="447">
        <f>'расшифровки ВО_2016'!F321</f>
        <v>3104</v>
      </c>
      <c r="G30" s="447">
        <f>'расшифровки ВО_2016'!G321</f>
        <v>6765.3193600000004</v>
      </c>
      <c r="H30" s="447">
        <f>'расшифровки ВО_2016'!H416</f>
        <v>5483.97</v>
      </c>
      <c r="I30" s="447">
        <f>'расшифровки ВО_2016'!I416</f>
        <v>9322.7489999999998</v>
      </c>
      <c r="J30" s="447"/>
      <c r="K30" s="447"/>
      <c r="L30" s="447"/>
      <c r="M30" s="856">
        <f>'расшифровки ВО_2016'!V321</f>
        <v>0</v>
      </c>
      <c r="N30" s="857" t="str">
        <f>'расшифровки ВО_2016'!T321</f>
        <v>в амортизации</v>
      </c>
      <c r="O30" s="855">
        <f>'расшифровки ВО_2016'!U321</f>
        <v>0</v>
      </c>
    </row>
    <row r="31" spans="1:15">
      <c r="A31" s="1148" t="s">
        <v>47</v>
      </c>
      <c r="B31" s="12" t="s">
        <v>974</v>
      </c>
      <c r="C31" s="13" t="s">
        <v>11</v>
      </c>
      <c r="D31" s="447">
        <f>'расшифровки ВО_2016'!D325</f>
        <v>1360</v>
      </c>
      <c r="E31" s="447">
        <f>'расшифровки ВО_2016'!E325</f>
        <v>2291.2130326193937</v>
      </c>
      <c r="F31" s="447">
        <f>'расшифровки ВО_2016'!F325</f>
        <v>1001</v>
      </c>
      <c r="G31" s="447">
        <f>'расшифровки ВО_2016'!G325</f>
        <v>2291.2130326193937</v>
      </c>
      <c r="H31" s="447">
        <f>'расшифровки ВО_2016'!H325</f>
        <v>730.68573120000008</v>
      </c>
      <c r="I31" s="447">
        <f>'расшифровки ВО_2016'!I325</f>
        <v>1461.3714624000002</v>
      </c>
      <c r="J31" s="447">
        <f>'расшифровки ВО_2016'!J325</f>
        <v>2392.0264060546469</v>
      </c>
      <c r="K31" s="447">
        <f>'расшифровки ВО_2016'!K325</f>
        <v>2494.8835415149965</v>
      </c>
      <c r="L31" s="447">
        <f>'расшифровки ВО_2016'!L325</f>
        <v>2594.6788831755966</v>
      </c>
      <c r="M31" s="856">
        <f>'расшифровки ВО_2016'!Q325</f>
        <v>1505.2126062720001</v>
      </c>
      <c r="N31" s="857">
        <f>'расшифровки ВО_2016'!T325</f>
        <v>0</v>
      </c>
      <c r="O31" s="855">
        <f>'расшифровки ВО_2016'!U325</f>
        <v>0</v>
      </c>
    </row>
    <row r="32" spans="1:15" ht="39" thickBot="1">
      <c r="A32" s="1148" t="s">
        <v>48</v>
      </c>
      <c r="B32" s="16" t="s">
        <v>1752</v>
      </c>
      <c r="C32" s="17" t="s">
        <v>11</v>
      </c>
      <c r="D32" s="879">
        <v>0</v>
      </c>
      <c r="E32" s="879">
        <f>'расшифровки ВО_2016'!E326</f>
        <v>0</v>
      </c>
      <c r="F32" s="879">
        <v>0</v>
      </c>
      <c r="G32" s="879">
        <v>0</v>
      </c>
      <c r="H32" s="879">
        <v>0</v>
      </c>
      <c r="I32" s="879">
        <v>0</v>
      </c>
      <c r="J32" s="879">
        <v>0</v>
      </c>
      <c r="K32" s="879">
        <v>0</v>
      </c>
      <c r="L32" s="879">
        <v>0</v>
      </c>
      <c r="M32" s="1243">
        <f>'расшифровки ВО_2016'!Q320</f>
        <v>1653.567264</v>
      </c>
      <c r="N32" s="881">
        <f>'расшифровки ВО_2016'!T326</f>
        <v>0</v>
      </c>
      <c r="O32" s="1244">
        <f>'расшифровки ВО_2016'!U326</f>
        <v>0</v>
      </c>
    </row>
    <row r="33" spans="1:16" ht="15.75" hidden="1" thickBot="1">
      <c r="A33" s="180"/>
      <c r="B33" s="1245" t="s">
        <v>967</v>
      </c>
      <c r="C33" s="1246"/>
      <c r="D33" s="454">
        <v>0</v>
      </c>
      <c r="E33" s="454"/>
      <c r="F33" s="454"/>
      <c r="G33" s="454"/>
      <c r="H33" s="454"/>
      <c r="I33" s="454"/>
      <c r="J33" s="454"/>
      <c r="K33" s="454"/>
      <c r="L33" s="454"/>
      <c r="M33" s="1247"/>
      <c r="N33" s="1248"/>
      <c r="O33" s="1247"/>
    </row>
    <row r="34" spans="1:16" ht="15.75" thickBot="1">
      <c r="A34" s="18" t="s">
        <v>50</v>
      </c>
      <c r="B34" s="7" t="s">
        <v>51</v>
      </c>
      <c r="C34" s="19" t="s">
        <v>11</v>
      </c>
      <c r="D34" s="883">
        <f>D35+D36+D37</f>
        <v>60659.203448275861</v>
      </c>
      <c r="E34" s="883">
        <f t="shared" ref="E34:L34" si="12">E35+E36+E37</f>
        <v>19147.084251199998</v>
      </c>
      <c r="F34" s="883">
        <f t="shared" si="12"/>
        <v>23906.55411248</v>
      </c>
      <c r="G34" s="883">
        <f t="shared" si="12"/>
        <v>27941.667134399999</v>
      </c>
      <c r="H34" s="883">
        <f t="shared" ref="H34:I34" si="13">H35+H36+H37</f>
        <v>10345.865567999997</v>
      </c>
      <c r="I34" s="883">
        <f t="shared" si="13"/>
        <v>24610.114120000002</v>
      </c>
      <c r="J34" s="883">
        <f t="shared" si="12"/>
        <v>30091.311472000001</v>
      </c>
      <c r="K34" s="883">
        <f t="shared" si="12"/>
        <v>41307.512365296003</v>
      </c>
      <c r="L34" s="883">
        <f t="shared" si="12"/>
        <v>27989.820473003732</v>
      </c>
      <c r="M34" s="883">
        <f t="shared" ref="M34:O34" si="14">M35+M36+M37</f>
        <v>14257.022813113374</v>
      </c>
      <c r="N34" s="885" t="e">
        <f t="shared" si="14"/>
        <v>#VALUE!</v>
      </c>
      <c r="O34" s="884">
        <f t="shared" si="14"/>
        <v>0</v>
      </c>
    </row>
    <row r="35" spans="1:16" ht="51.75" thickBot="1">
      <c r="A35" s="1216" t="s">
        <v>52</v>
      </c>
      <c r="B35" s="139" t="s">
        <v>519</v>
      </c>
      <c r="C35" s="140" t="s">
        <v>11</v>
      </c>
      <c r="D35" s="886">
        <f>'расшифровки ВО_2016'!D343</f>
        <v>8359.7999999999993</v>
      </c>
      <c r="E35" s="886">
        <f>'расшифровки ВО_2016'!E343</f>
        <v>6490.6</v>
      </c>
      <c r="F35" s="886">
        <f>'расшифровки ВО_2016'!F343</f>
        <v>8632.2999999999993</v>
      </c>
      <c r="G35" s="886">
        <f>'расшифровки ВО_2016'!G343</f>
        <v>8947.9</v>
      </c>
      <c r="H35" s="886">
        <f>'расшифровки ВО_2016'!H343</f>
        <v>3863.4332639999993</v>
      </c>
      <c r="I35" s="886">
        <f>'расшифровки ВО_2016'!I343</f>
        <v>8497</v>
      </c>
      <c r="J35" s="886">
        <f>'расшифровки ВО_2016'!J343</f>
        <v>10862.6</v>
      </c>
      <c r="K35" s="886">
        <f>'расшифровки ВО_2016'!K343</f>
        <v>11329.69</v>
      </c>
      <c r="L35" s="886">
        <f>'расшифровки ВО_2016'!L343</f>
        <v>11816.86</v>
      </c>
      <c r="M35" s="847">
        <f>'расшифровки ВО_2016'!Q343</f>
        <v>8856.7397999999994</v>
      </c>
      <c r="N35" s="848">
        <f>'расшифровки ВО_2016'!T343</f>
        <v>0</v>
      </c>
      <c r="O35" s="846">
        <f>'расшифровки ВО_2016'!U343</f>
        <v>0</v>
      </c>
    </row>
    <row r="36" spans="1:16" ht="52.5" thickTop="1" thickBot="1">
      <c r="A36" s="1214" t="s">
        <v>54</v>
      </c>
      <c r="B36" s="142" t="s">
        <v>522</v>
      </c>
      <c r="C36" s="143" t="s">
        <v>11</v>
      </c>
      <c r="D36" s="868">
        <f>'расшифровки ВО_2016'!D351</f>
        <v>49684.4</v>
      </c>
      <c r="E36" s="868">
        <f>'расшифровки ВО_2016'!E351</f>
        <v>7893.1359999999986</v>
      </c>
      <c r="F36" s="868">
        <f>'расшифровки ВО_2016'!F351</f>
        <v>10011.700000000001</v>
      </c>
      <c r="G36" s="868">
        <f>'расшифровки ВО_2016'!G351</f>
        <v>13841.9</v>
      </c>
      <c r="H36" s="868">
        <f>'расшифровки ВО_2016'!H343</f>
        <v>3863.4332639999993</v>
      </c>
      <c r="I36" s="868">
        <f>'расшифровки ВО_2016'!H351</f>
        <v>10933.263360000001</v>
      </c>
      <c r="J36" s="868">
        <f>'расшифровки ВО_2016'!I351</f>
        <v>13841.9</v>
      </c>
      <c r="K36" s="868">
        <f>'расшифровки ВО_2016'!J351</f>
        <v>24359.378000000001</v>
      </c>
      <c r="L36" s="868">
        <f>'расшифровки ВО_2016'!K351</f>
        <v>10312.923000000001</v>
      </c>
      <c r="M36" s="2995">
        <f>'расшифровки ВО_2016'!Q351</f>
        <v>0</v>
      </c>
      <c r="N36" s="871" t="str">
        <f>'расшифровки ВО_2016'!T351</f>
        <v xml:space="preserve"> за счёт амортизации</v>
      </c>
      <c r="O36" s="863">
        <f>'расшифровки ВО_2016'!U351</f>
        <v>0</v>
      </c>
      <c r="P36" t="s">
        <v>1091</v>
      </c>
    </row>
    <row r="37" spans="1:16" ht="52.5" thickTop="1" thickBot="1">
      <c r="A37" s="1214" t="s">
        <v>56</v>
      </c>
      <c r="B37" s="142" t="s">
        <v>57</v>
      </c>
      <c r="C37" s="143" t="s">
        <v>11</v>
      </c>
      <c r="D37" s="868">
        <f>D38+D39</f>
        <v>2615.0034482758624</v>
      </c>
      <c r="E37" s="868">
        <f t="shared" ref="E37:O37" si="15">E38+E39</f>
        <v>4763.3482511999991</v>
      </c>
      <c r="F37" s="868">
        <f t="shared" si="15"/>
        <v>5262.5541124800002</v>
      </c>
      <c r="G37" s="864">
        <f t="shared" si="15"/>
        <v>5151.8671344000004</v>
      </c>
      <c r="H37" s="864">
        <f t="shared" ref="H37:L37" si="16">H38+H39</f>
        <v>2618.9990399999997</v>
      </c>
      <c r="I37" s="864">
        <f t="shared" si="16"/>
        <v>5179.8507600000003</v>
      </c>
      <c r="J37" s="864">
        <f t="shared" si="16"/>
        <v>5386.8114720000003</v>
      </c>
      <c r="K37" s="864">
        <f t="shared" si="16"/>
        <v>5618.4443652959999</v>
      </c>
      <c r="L37" s="864">
        <f t="shared" si="16"/>
        <v>5860.0374730037274</v>
      </c>
      <c r="M37" s="870">
        <f t="shared" si="15"/>
        <v>5400.2830131133733</v>
      </c>
      <c r="N37" s="871">
        <f t="shared" si="15"/>
        <v>0</v>
      </c>
      <c r="O37" s="863">
        <f t="shared" si="15"/>
        <v>0</v>
      </c>
    </row>
    <row r="38" spans="1:16" ht="26.25" thickTop="1">
      <c r="A38" s="1148" t="s">
        <v>58</v>
      </c>
      <c r="B38" s="10" t="s">
        <v>59</v>
      </c>
      <c r="C38" s="11" t="s">
        <v>11</v>
      </c>
      <c r="D38" s="849">
        <f>D24/87*3</f>
        <v>2008.4517241379313</v>
      </c>
      <c r="E38" s="849">
        <f>'Зар.плата осн.персонала'!E265</f>
        <v>3658.4855999999995</v>
      </c>
      <c r="F38" s="849">
        <f>'Зар.плата осн.персонала'!F265</f>
        <v>4041.9002400000004</v>
      </c>
      <c r="G38" s="849">
        <f>'Зар.плата осн.персонала'!G265</f>
        <v>3956.8872000000001</v>
      </c>
      <c r="H38" s="849">
        <f>'Зар.плата осн.персонала'!H265</f>
        <v>2011.52</v>
      </c>
      <c r="I38" s="849">
        <f>'Зар.плата осн.персонала'!I265</f>
        <v>3978.38</v>
      </c>
      <c r="J38" s="849">
        <f>'Зар.плата осн.персонала'!J265</f>
        <v>4137.3360000000002</v>
      </c>
      <c r="K38" s="849">
        <f>'Зар.плата осн.персонала'!K265</f>
        <v>4315.2414479999998</v>
      </c>
      <c r="L38" s="849">
        <f>'Зар.плата осн.персонала'!L265</f>
        <v>4500.7968302639993</v>
      </c>
      <c r="M38" s="853">
        <f>'расшифровки ВО_2016'!Q359</f>
        <v>4147.6828057706398</v>
      </c>
      <c r="N38" s="854">
        <f>'расшифровки ВО_2016'!T359</f>
        <v>0</v>
      </c>
      <c r="O38" s="852">
        <f>'расшифровки ВО_2016'!U359</f>
        <v>0</v>
      </c>
    </row>
    <row r="39" spans="1:16" ht="39" thickBot="1">
      <c r="A39" s="1215" t="s">
        <v>60</v>
      </c>
      <c r="B39" s="16" t="s">
        <v>61</v>
      </c>
      <c r="C39" s="17" t="s">
        <v>11</v>
      </c>
      <c r="D39" s="879">
        <f>D25/87*3</f>
        <v>606.55172413793105</v>
      </c>
      <c r="E39" s="879">
        <f>'Зар.плата осн.персонала'!E267</f>
        <v>1104.8626511999998</v>
      </c>
      <c r="F39" s="879">
        <f>'Зар.плата осн.персонала'!F267</f>
        <v>1220.6538724800002</v>
      </c>
      <c r="G39" s="879">
        <f>'расшифровки ВО_2016'!G360</f>
        <v>1194.9799344</v>
      </c>
      <c r="H39" s="879">
        <f>'Зар.плата осн.персонала'!H267</f>
        <v>607.47903999999994</v>
      </c>
      <c r="I39" s="879">
        <f>'Зар.плата осн.персонала'!I267</f>
        <v>1201.4707599999999</v>
      </c>
      <c r="J39" s="879">
        <f>'Зар.плата осн.персонала'!J267</f>
        <v>1249.4754720000001</v>
      </c>
      <c r="K39" s="879">
        <f>'Зар.плата осн.персонала'!K267</f>
        <v>1303.2029172959999</v>
      </c>
      <c r="L39" s="879">
        <f>'Зар.плата осн.персонала'!L267</f>
        <v>1359.2406427397277</v>
      </c>
      <c r="M39" s="880">
        <f>'расшифровки ВО_2016'!Q360</f>
        <v>1252.6002073427333</v>
      </c>
      <c r="N39" s="881">
        <f>'расшифровки ВО_2016'!T360</f>
        <v>0</v>
      </c>
      <c r="O39" s="882">
        <f>'расшифровки ВО_2016'!U360</f>
        <v>0</v>
      </c>
    </row>
    <row r="40" spans="1:16" ht="15.75" thickBot="1">
      <c r="A40" s="20" t="s">
        <v>62</v>
      </c>
      <c r="B40" s="7" t="s">
        <v>63</v>
      </c>
      <c r="C40" s="7" t="s">
        <v>11</v>
      </c>
      <c r="D40" s="887">
        <f>D41+D50+D53+D54+D55+D56+D57</f>
        <v>18770.43</v>
      </c>
      <c r="E40" s="887">
        <f>E41+E50+E53+E54+E55+E56+E57</f>
        <v>28174.500000000004</v>
      </c>
      <c r="F40" s="887">
        <f>F41+F50+F53+F54+F55+F56+F57</f>
        <v>26059.64</v>
      </c>
      <c r="G40" s="887">
        <f t="shared" ref="G40:L40" si="17">G41+G50+G53+G54+G55+G56+G57</f>
        <v>31336.77</v>
      </c>
      <c r="H40" s="887">
        <f t="shared" ref="H40:I40" si="18">H41+H50+H53+H54+H55+H56+H57</f>
        <v>17387.155626600001</v>
      </c>
      <c r="I40" s="887">
        <f t="shared" si="18"/>
        <v>36456.44584375</v>
      </c>
      <c r="J40" s="887">
        <f t="shared" si="17"/>
        <v>31356.86717256275</v>
      </c>
      <c r="K40" s="887">
        <f t="shared" si="17"/>
        <v>28230.087305949546</v>
      </c>
      <c r="L40" s="887">
        <f t="shared" si="17"/>
        <v>29443.98106010538</v>
      </c>
      <c r="M40" s="889">
        <f t="shared" ref="M40:O40" si="19">M41+M50+M53+M54+M55+M56+M57</f>
        <v>28006.334211646503</v>
      </c>
      <c r="N40" s="890">
        <f t="shared" si="19"/>
        <v>0</v>
      </c>
      <c r="O40" s="888">
        <f t="shared" si="19"/>
        <v>0</v>
      </c>
    </row>
    <row r="41" spans="1:16" ht="39" thickBot="1">
      <c r="A41" s="1217" t="s">
        <v>64</v>
      </c>
      <c r="B41" s="153" t="s">
        <v>65</v>
      </c>
      <c r="C41" s="154" t="s">
        <v>11</v>
      </c>
      <c r="D41" s="891">
        <f>SUM(D42:D48)</f>
        <v>3545.04</v>
      </c>
      <c r="E41" s="891">
        <f>SUM(E42:E48)</f>
        <v>2969.7299999999996</v>
      </c>
      <c r="F41" s="891">
        <f>SUM(F42:F48)</f>
        <v>2301.3200000000002</v>
      </c>
      <c r="G41" s="892">
        <f t="shared" ref="G41:O41" si="20">SUM(G42:G48)</f>
        <v>3103.36</v>
      </c>
      <c r="H41" s="892">
        <f t="shared" ref="H41:I41" si="21">SUM(H42:H48)</f>
        <v>2083.1368000000002</v>
      </c>
      <c r="I41" s="892">
        <f t="shared" si="21"/>
        <v>4786.9289616000005</v>
      </c>
      <c r="J41" s="892">
        <f t="shared" si="20"/>
        <v>4381.9272727999996</v>
      </c>
      <c r="K41" s="892">
        <f t="shared" si="20"/>
        <v>0</v>
      </c>
      <c r="L41" s="892">
        <f t="shared" si="20"/>
        <v>0</v>
      </c>
      <c r="M41" s="894">
        <f>SUM(M42:M49)</f>
        <v>2696.8776603104006</v>
      </c>
      <c r="N41" s="895">
        <f t="shared" si="20"/>
        <v>0</v>
      </c>
      <c r="O41" s="893">
        <f t="shared" si="20"/>
        <v>0</v>
      </c>
    </row>
    <row r="42" spans="1:16" ht="15.75" thickTop="1">
      <c r="A42" s="1218" t="s">
        <v>66</v>
      </c>
      <c r="B42" s="10" t="s">
        <v>67</v>
      </c>
      <c r="C42" s="3" t="s">
        <v>11</v>
      </c>
      <c r="D42" s="849">
        <v>1009.51</v>
      </c>
      <c r="E42" s="849">
        <v>769.15</v>
      </c>
      <c r="F42" s="850">
        <v>512.72</v>
      </c>
      <c r="G42" s="851">
        <v>803.77</v>
      </c>
      <c r="H42" s="851">
        <f>'Админ. расх. (2)'!O11</f>
        <v>880.67701</v>
      </c>
      <c r="I42" s="851">
        <f>'Админ. расх. (2)'!P11</f>
        <v>1761.35402</v>
      </c>
      <c r="J42" s="851">
        <f>'Админ. расх. (2)'!Q11</f>
        <v>1840.6149508999999</v>
      </c>
      <c r="K42" s="851">
        <f>'Админ. расх. (2)'!R11</f>
        <v>0</v>
      </c>
      <c r="L42" s="851">
        <f>'Админ. расх. (2)'!S11</f>
        <v>0</v>
      </c>
      <c r="M42" s="853">
        <f>'Админ. расх. (2)'!AB11</f>
        <v>625.80908330600005</v>
      </c>
      <c r="N42" s="854"/>
      <c r="O42" s="852"/>
    </row>
    <row r="43" spans="1:16">
      <c r="A43" s="537" t="s">
        <v>68</v>
      </c>
      <c r="B43" s="12" t="s">
        <v>69</v>
      </c>
      <c r="C43" s="3" t="s">
        <v>11</v>
      </c>
      <c r="D43" s="849">
        <v>882</v>
      </c>
      <c r="E43" s="849">
        <v>286.66000000000003</v>
      </c>
      <c r="F43" s="850">
        <v>605.20000000000005</v>
      </c>
      <c r="G43" s="851">
        <v>299.56</v>
      </c>
      <c r="H43" s="851">
        <f>'Админ. расх. (2)'!O12</f>
        <v>215.07177999999999</v>
      </c>
      <c r="I43" s="851">
        <f>'Админ. расх. (2)'!P12</f>
        <v>430.14355999999998</v>
      </c>
      <c r="J43" s="851">
        <f>'Админ. расх. (2)'!Q12</f>
        <v>449.50002019999994</v>
      </c>
      <c r="K43" s="851">
        <f>'Админ. расх. (2)'!R12</f>
        <v>0</v>
      </c>
      <c r="L43" s="851">
        <f>'Админ. расх. (2)'!S12</f>
        <v>0</v>
      </c>
      <c r="M43" s="853">
        <f>'Админ. расх. (2)'!AB12</f>
        <v>152.830006868</v>
      </c>
      <c r="N43" s="854"/>
      <c r="O43" s="852"/>
    </row>
    <row r="44" spans="1:16">
      <c r="A44" s="537" t="s">
        <v>70</v>
      </c>
      <c r="B44" s="12" t="s">
        <v>71</v>
      </c>
      <c r="C44" s="3" t="s">
        <v>11</v>
      </c>
      <c r="D44" s="849">
        <v>504</v>
      </c>
      <c r="E44" s="849">
        <v>460.15</v>
      </c>
      <c r="F44" s="850">
        <v>408</v>
      </c>
      <c r="G44" s="851">
        <v>480.85</v>
      </c>
      <c r="H44" s="851">
        <f>'Админ. расх. (2)'!O13</f>
        <v>0</v>
      </c>
      <c r="I44" s="851">
        <f>'Админ. расх. (2)'!P13</f>
        <v>1475</v>
      </c>
      <c r="J44" s="851">
        <f>'Админ. расх. (2)'!Q13</f>
        <v>1541.375</v>
      </c>
      <c r="K44" s="851">
        <f>'Админ. расх. (2)'!R13</f>
        <v>0</v>
      </c>
      <c r="L44" s="851">
        <f>'Админ. расх. (2)'!S13</f>
        <v>0</v>
      </c>
      <c r="M44" s="853">
        <f>'Админ. расх. (2)'!AB13</f>
        <v>514.5390000000001</v>
      </c>
      <c r="N44" s="854"/>
      <c r="O44" s="852"/>
    </row>
    <row r="45" spans="1:16">
      <c r="A45" s="537" t="s">
        <v>72</v>
      </c>
      <c r="B45" s="12" t="s">
        <v>73</v>
      </c>
      <c r="C45" s="3" t="s">
        <v>11</v>
      </c>
      <c r="D45" s="849">
        <v>273.83</v>
      </c>
      <c r="E45" s="849">
        <v>598.08000000000004</v>
      </c>
      <c r="F45" s="850">
        <v>0</v>
      </c>
      <c r="G45" s="851">
        <v>624.99</v>
      </c>
      <c r="H45" s="851">
        <f>'Админ. расх. (2)'!O14</f>
        <v>263.36713000000003</v>
      </c>
      <c r="I45" s="851">
        <f>'Админ. расх. (2)'!P14</f>
        <v>526.73426000000006</v>
      </c>
      <c r="J45" s="851">
        <f>'Админ. расх. (2)'!Q14</f>
        <v>550.43730170000003</v>
      </c>
      <c r="K45" s="851">
        <f>'Админ. расх. (2)'!R14</f>
        <v>0</v>
      </c>
      <c r="L45" s="851">
        <f>'Админ. расх. (2)'!S14</f>
        <v>0</v>
      </c>
      <c r="M45" s="853">
        <f>'Админ. расх. (2)'!AB14</f>
        <v>187.14868257800003</v>
      </c>
      <c r="N45" s="854"/>
      <c r="O45" s="852"/>
    </row>
    <row r="46" spans="1:16" ht="38.25">
      <c r="A46" s="537" t="s">
        <v>74</v>
      </c>
      <c r="B46" s="12" t="s">
        <v>1521</v>
      </c>
      <c r="C46" s="3" t="s">
        <v>11</v>
      </c>
      <c r="D46" s="849">
        <v>260.39999999999998</v>
      </c>
      <c r="E46" s="849">
        <v>266.52999999999997</v>
      </c>
      <c r="F46" s="850">
        <v>249.9</v>
      </c>
      <c r="G46" s="851">
        <v>278.52</v>
      </c>
      <c r="H46" s="851">
        <f>'Админ. расх. (2)'!O15</f>
        <v>0</v>
      </c>
      <c r="I46" s="851">
        <f>'Админ. расх. (2)'!P15*0.41</f>
        <v>0</v>
      </c>
      <c r="J46" s="852">
        <f>'Админ. расх. (2)'!S15</f>
        <v>0</v>
      </c>
      <c r="K46" s="852">
        <f>'Админ. расх. (2)'!V15</f>
        <v>0</v>
      </c>
      <c r="L46" s="852">
        <f>'Админ. расх. (2)'!Y15</f>
        <v>0</v>
      </c>
      <c r="M46" s="853">
        <v>0</v>
      </c>
      <c r="N46" s="854"/>
      <c r="O46" s="852"/>
    </row>
    <row r="47" spans="1:16">
      <c r="A47" s="537" t="s">
        <v>76</v>
      </c>
      <c r="B47" s="12" t="s">
        <v>77</v>
      </c>
      <c r="C47" s="3" t="s">
        <v>11</v>
      </c>
      <c r="D47" s="849">
        <v>615.29999999999995</v>
      </c>
      <c r="E47" s="849">
        <v>589.16</v>
      </c>
      <c r="F47" s="850">
        <v>525.5</v>
      </c>
      <c r="G47" s="851">
        <v>615.66999999999996</v>
      </c>
      <c r="H47" s="851">
        <f>'Админ. расх. (2)'!O16</f>
        <v>724.02088000000003</v>
      </c>
      <c r="I47" s="851">
        <f>'Админ. расх. (2)'!P16*0.41</f>
        <v>593.69712159999995</v>
      </c>
      <c r="J47" s="852">
        <f>'Админ. расх. (2)'!S16</f>
        <v>0</v>
      </c>
      <c r="K47" s="852">
        <f>'Админ. расх. (2)'!V16</f>
        <v>0</v>
      </c>
      <c r="L47" s="852">
        <f>'Админ. расх. (2)'!Y16</f>
        <v>0</v>
      </c>
      <c r="M47" s="853">
        <f>'Админ. расх. (2)'!AB16</f>
        <v>505.13488755840001</v>
      </c>
      <c r="N47" s="854"/>
      <c r="O47" s="852"/>
    </row>
    <row r="48" spans="1:16" ht="26.25" thickBot="1">
      <c r="A48" s="1219" t="s">
        <v>78</v>
      </c>
      <c r="B48" s="150" t="s">
        <v>1754</v>
      </c>
      <c r="C48" s="152" t="s">
        <v>11</v>
      </c>
      <c r="D48" s="849"/>
      <c r="E48" s="858"/>
      <c r="F48" s="850"/>
      <c r="G48" s="851"/>
      <c r="H48" s="851"/>
      <c r="I48" s="851"/>
      <c r="J48" s="852"/>
      <c r="K48" s="852"/>
      <c r="L48" s="852"/>
      <c r="M48" s="853">
        <f>'Админ. расх. (2)'!AB18</f>
        <v>442.00000000000006</v>
      </c>
      <c r="N48" s="854"/>
      <c r="O48" s="852"/>
    </row>
    <row r="49" spans="1:15" ht="16.5" thickTop="1" thickBot="1">
      <c r="A49" s="1219" t="s">
        <v>1725</v>
      </c>
      <c r="B49" s="2878" t="s">
        <v>1724</v>
      </c>
      <c r="C49" s="152" t="s">
        <v>11</v>
      </c>
      <c r="D49" s="2999"/>
      <c r="E49" s="3000"/>
      <c r="F49" s="3001"/>
      <c r="G49" s="3002"/>
      <c r="H49" s="3002"/>
      <c r="I49" s="3002"/>
      <c r="J49" s="3003"/>
      <c r="K49" s="3003"/>
      <c r="L49" s="3003"/>
      <c r="M49" s="3004">
        <f>'Админ. расх. (2)'!AB19</f>
        <v>269.416</v>
      </c>
      <c r="N49" s="3003"/>
      <c r="O49" s="3005"/>
    </row>
    <row r="50" spans="1:15" ht="65.25" thickTop="1" thickBot="1">
      <c r="A50" s="1220" t="s">
        <v>80</v>
      </c>
      <c r="B50" s="142" t="s">
        <v>81</v>
      </c>
      <c r="C50" s="144" t="s">
        <v>11</v>
      </c>
      <c r="D50" s="868">
        <f>D51+D52</f>
        <v>8716.68</v>
      </c>
      <c r="E50" s="868">
        <f t="shared" ref="E50:O50" si="22">E51+E52</f>
        <v>19693.560000000001</v>
      </c>
      <c r="F50" s="869">
        <f t="shared" si="22"/>
        <v>18038.18</v>
      </c>
      <c r="G50" s="864">
        <f t="shared" si="22"/>
        <v>21870.61</v>
      </c>
      <c r="H50" s="864">
        <f t="shared" ref="H50:I50" si="23">H51+H52</f>
        <v>11763.341499</v>
      </c>
      <c r="I50" s="864">
        <f t="shared" si="23"/>
        <v>24588.16222695</v>
      </c>
      <c r="J50" s="864">
        <f t="shared" si="22"/>
        <v>26974.93989976275</v>
      </c>
      <c r="K50" s="864">
        <f t="shared" si="22"/>
        <v>28230.087305949546</v>
      </c>
      <c r="L50" s="864">
        <f t="shared" si="22"/>
        <v>29443.98106010538</v>
      </c>
      <c r="M50" s="870">
        <f t="shared" si="22"/>
        <v>18831.865917491021</v>
      </c>
      <c r="N50" s="871">
        <f t="shared" si="22"/>
        <v>0</v>
      </c>
      <c r="O50" s="863">
        <f t="shared" si="22"/>
        <v>0</v>
      </c>
    </row>
    <row r="51" spans="1:15" ht="39" thickTop="1">
      <c r="A51" s="1218" t="s">
        <v>82</v>
      </c>
      <c r="B51" s="10" t="s">
        <v>83</v>
      </c>
      <c r="C51" s="3" t="s">
        <v>11</v>
      </c>
      <c r="D51" s="849">
        <v>6694.84</v>
      </c>
      <c r="E51" s="849">
        <v>15125.62</v>
      </c>
      <c r="F51" s="850">
        <v>13854.21</v>
      </c>
      <c r="G51" s="851">
        <v>16797.7</v>
      </c>
      <c r="H51" s="851">
        <f>'Админ. расх. (2)'!O22</f>
        <v>9034.8245000000006</v>
      </c>
      <c r="I51" s="851">
        <f>'Админ. расх. (2)'!P22</f>
        <v>18884.917225000001</v>
      </c>
      <c r="J51" s="851">
        <f>'Админ. расх. (2)'!S22</f>
        <v>20718.079800125</v>
      </c>
      <c r="K51" s="851">
        <f>'Админ. расх. (2)'!V22</f>
        <v>21682.094705030373</v>
      </c>
      <c r="L51" s="851">
        <f>'Админ. расх. (2)'!X22</f>
        <v>22614.424777346681</v>
      </c>
      <c r="M51" s="853">
        <f>'Админ. расх. (2)'!AB22</f>
        <v>14463.7987077504</v>
      </c>
      <c r="N51" s="854"/>
      <c r="O51" s="852"/>
    </row>
    <row r="52" spans="1:15" ht="51.75" thickBot="1">
      <c r="A52" s="1219" t="s">
        <v>85</v>
      </c>
      <c r="B52" s="150" t="s">
        <v>84</v>
      </c>
      <c r="C52" s="152" t="s">
        <v>11</v>
      </c>
      <c r="D52" s="849">
        <v>2021.84</v>
      </c>
      <c r="E52" s="849">
        <v>4567.9399999999996</v>
      </c>
      <c r="F52" s="896">
        <v>4183.97</v>
      </c>
      <c r="G52" s="897">
        <v>5072.91</v>
      </c>
      <c r="H52" s="851">
        <f>'Админ. расх. (2)'!O40</f>
        <v>2728.5169989999999</v>
      </c>
      <c r="I52" s="851">
        <f>'Админ. расх. (2)'!P40</f>
        <v>5703.2450019499993</v>
      </c>
      <c r="J52" s="851">
        <f>'Админ. расх. (2)'!S40</f>
        <v>6256.8600996377509</v>
      </c>
      <c r="K52" s="851">
        <f>'Админ. расх. (2)'!V40</f>
        <v>6547.9926009191722</v>
      </c>
      <c r="L52" s="851">
        <f>'Админ. расх. (2)'!Y40</f>
        <v>6829.5562827586973</v>
      </c>
      <c r="M52" s="853">
        <f>'Админ. расх. (2)'!AB40</f>
        <v>4368.0672097406214</v>
      </c>
      <c r="N52" s="898"/>
      <c r="O52" s="899"/>
    </row>
    <row r="53" spans="1:15" ht="78" thickTop="1" thickBot="1">
      <c r="A53" s="1220" t="s">
        <v>86</v>
      </c>
      <c r="B53" s="142" t="s">
        <v>87</v>
      </c>
      <c r="C53" s="144" t="s">
        <v>11</v>
      </c>
      <c r="D53" s="972">
        <v>63</v>
      </c>
      <c r="E53" s="972">
        <v>24.6</v>
      </c>
      <c r="F53" s="973">
        <v>3.93</v>
      </c>
      <c r="G53" s="971">
        <v>25.71</v>
      </c>
      <c r="H53" s="971">
        <f>'Админ. расх. (2)'!O43*0.41</f>
        <v>2.3615999999999997</v>
      </c>
      <c r="I53" s="971">
        <f>'Админ. расх. (2)'!P43*0.41</f>
        <v>4.7231999999999994</v>
      </c>
      <c r="J53" s="969">
        <f>'Админ. расх. (2)'!S43</f>
        <v>0</v>
      </c>
      <c r="K53" s="970">
        <f>'Админ. расх. (2)'!V43</f>
        <v>0</v>
      </c>
      <c r="L53" s="971">
        <f>'Админ. расх. (2)'!X43</f>
        <v>0</v>
      </c>
      <c r="M53" s="1366">
        <f>'Админ. расх. (2)'!AB43</f>
        <v>4.0930559999999998</v>
      </c>
      <c r="N53" s="901"/>
      <c r="O53" s="900"/>
    </row>
    <row r="54" spans="1:15" ht="23.25" customHeight="1" thickTop="1" thickBot="1">
      <c r="A54" s="1221" t="s">
        <v>88</v>
      </c>
      <c r="B54" s="142" t="s">
        <v>89</v>
      </c>
      <c r="C54" s="144" t="s">
        <v>11</v>
      </c>
      <c r="D54" s="972">
        <v>365.95</v>
      </c>
      <c r="E54" s="972">
        <v>347.61</v>
      </c>
      <c r="F54" s="973">
        <v>179.35</v>
      </c>
      <c r="G54" s="971">
        <v>363.25</v>
      </c>
      <c r="H54" s="971">
        <f>'Админ. расх. (2)'!O44*0.41</f>
        <v>137.89820280000001</v>
      </c>
      <c r="I54" s="971">
        <f>'Админ. расх. (2)'!P44*0.41</f>
        <v>275.79640560000001</v>
      </c>
      <c r="J54" s="969">
        <f>'Админ. расх. (2)'!S44</f>
        <v>0</v>
      </c>
      <c r="K54" s="970">
        <f>'Админ. расх. (2)'!V44</f>
        <v>0</v>
      </c>
      <c r="L54" s="971">
        <f>'Админ. расх. (2)'!X44</f>
        <v>0</v>
      </c>
      <c r="M54" s="1364">
        <f>'Админ. расх. (2)'!AB44</f>
        <v>184.18752000000003</v>
      </c>
      <c r="N54" s="901"/>
      <c r="O54" s="900"/>
    </row>
    <row r="55" spans="1:15" ht="16.5" thickTop="1" thickBot="1">
      <c r="A55" s="1221" t="s">
        <v>90</v>
      </c>
      <c r="B55" s="142" t="s">
        <v>91</v>
      </c>
      <c r="C55" s="144" t="s">
        <v>11</v>
      </c>
      <c r="D55" s="972">
        <v>385.36</v>
      </c>
      <c r="E55" s="972">
        <v>206.24</v>
      </c>
      <c r="F55" s="973">
        <v>552.4</v>
      </c>
      <c r="G55" s="971">
        <v>215.52</v>
      </c>
      <c r="H55" s="971">
        <f>'Админ. расх. (2)'!O45*0.41</f>
        <v>249.25129999999996</v>
      </c>
      <c r="I55" s="971">
        <f>'Админ. расх. (2)'!P45*0.41</f>
        <v>498.50259999999992</v>
      </c>
      <c r="J55" s="969">
        <f>'Админ. расх. (2)'!S45</f>
        <v>0</v>
      </c>
      <c r="K55" s="970">
        <f>'Админ. расх. (2)'!V45</f>
        <v>0</v>
      </c>
      <c r="L55" s="971">
        <f>'Админ. расх. (2)'!Y45</f>
        <v>0</v>
      </c>
      <c r="M55" s="1364">
        <f>'Админ. расх. (2)'!AB45</f>
        <v>192.69921600000001</v>
      </c>
      <c r="N55" s="901"/>
      <c r="O55" s="900"/>
    </row>
    <row r="56" spans="1:15" ht="27" thickTop="1" thickBot="1">
      <c r="A56" s="1221" t="s">
        <v>92</v>
      </c>
      <c r="B56" s="142" t="s">
        <v>93</v>
      </c>
      <c r="C56" s="144" t="s">
        <v>11</v>
      </c>
      <c r="D56" s="972">
        <v>94.4</v>
      </c>
      <c r="E56" s="972">
        <v>99.63</v>
      </c>
      <c r="F56" s="973">
        <v>45.9</v>
      </c>
      <c r="G56" s="971">
        <v>104.12</v>
      </c>
      <c r="H56" s="971">
        <f>'Админ. расх. (2)'!O46*0.41</f>
        <v>20.419361200000001</v>
      </c>
      <c r="I56" s="971">
        <f>'Админ. расх. (2)'!P46*0.41</f>
        <v>40.838722400000002</v>
      </c>
      <c r="J56" s="969">
        <f>'Админ. расх. (2)'!S46</f>
        <v>0</v>
      </c>
      <c r="K56" s="970">
        <f>'Админ. расх. (2)'!V46</f>
        <v>0</v>
      </c>
      <c r="L56" s="971">
        <f>'Админ. расх. (2)'!Y46</f>
        <v>0</v>
      </c>
      <c r="M56" s="1364">
        <f>'Админ. расх. (2)'!AB46</f>
        <v>35.390239192000003</v>
      </c>
      <c r="N56" s="901"/>
      <c r="O56" s="900"/>
    </row>
    <row r="57" spans="1:15" ht="27" thickTop="1" thickBot="1">
      <c r="A57" s="1360" t="s">
        <v>94</v>
      </c>
      <c r="B57" s="1361" t="s">
        <v>95</v>
      </c>
      <c r="C57" s="1362" t="s">
        <v>11</v>
      </c>
      <c r="D57" s="972">
        <f>D58+D63</f>
        <v>5600</v>
      </c>
      <c r="E57" s="972">
        <f t="shared" ref="E57:L57" si="24">E58+E63</f>
        <v>4833.13</v>
      </c>
      <c r="F57" s="972">
        <f t="shared" si="24"/>
        <v>4938.5599999999995</v>
      </c>
      <c r="G57" s="972">
        <v>5654.2</v>
      </c>
      <c r="H57" s="972">
        <f t="shared" ref="H57:I57" si="25">H58+H63</f>
        <v>3130.7468635999999</v>
      </c>
      <c r="I57" s="972">
        <f t="shared" si="25"/>
        <v>6261.4937271999997</v>
      </c>
      <c r="J57" s="972">
        <f t="shared" ref="J57" si="26">J58+J63</f>
        <v>0</v>
      </c>
      <c r="K57" s="972">
        <f t="shared" ref="K57" si="27">K58+K63</f>
        <v>0</v>
      </c>
      <c r="L57" s="972">
        <f t="shared" si="24"/>
        <v>0</v>
      </c>
      <c r="M57" s="1364">
        <f>M58+M59+M60+M61+M62+M63</f>
        <v>6061.2206026530803</v>
      </c>
      <c r="N57" s="1363"/>
      <c r="O57" s="1363"/>
    </row>
    <row r="58" spans="1:15" ht="24" customHeight="1" thickTop="1" thickBot="1">
      <c r="A58" s="235" t="s">
        <v>96</v>
      </c>
      <c r="B58" s="281" t="s">
        <v>1100</v>
      </c>
      <c r="C58" s="384" t="s">
        <v>11</v>
      </c>
      <c r="D58" s="1272"/>
      <c r="E58" s="1272"/>
      <c r="F58" s="1273">
        <v>34.4</v>
      </c>
      <c r="G58" s="1791">
        <v>197.44</v>
      </c>
      <c r="H58" s="1791">
        <f>('Админ. расх. (2)'!O48+'Админ. расх. (2)'!O49)*0.41</f>
        <v>414.62806360000002</v>
      </c>
      <c r="I58" s="1791">
        <f>('Админ. расх. (2)'!P48+'Админ. расх. (2)'!P49)*0.41</f>
        <v>829.25612720000004</v>
      </c>
      <c r="J58" s="1792">
        <f>'Админ. расх. (2)'!S48+'Админ. расх. (2)'!S49</f>
        <v>0</v>
      </c>
      <c r="K58" s="1272">
        <f>'Админ. расх. (2)'!V48+'Админ. расх. (2)'!V49</f>
        <v>0</v>
      </c>
      <c r="L58" s="1272">
        <f>'Админ. расх. (2)'!Y48+'Админ. расх. (2)'!Y49</f>
        <v>0</v>
      </c>
      <c r="M58" s="1365">
        <f>'Админ. расх. (2)'!AB48</f>
        <v>181.49273100000002</v>
      </c>
      <c r="N58" s="1276"/>
      <c r="O58" s="1276"/>
    </row>
    <row r="59" spans="1:15" ht="15.75" customHeight="1" thickTop="1" thickBot="1">
      <c r="A59" s="235"/>
      <c r="B59" s="281" t="s">
        <v>1722</v>
      </c>
      <c r="C59" s="384" t="s">
        <v>11</v>
      </c>
      <c r="D59" s="1272"/>
      <c r="E59" s="1272"/>
      <c r="F59" s="1273"/>
      <c r="G59" s="1791"/>
      <c r="H59" s="1791"/>
      <c r="I59" s="1791"/>
      <c r="J59" s="1792"/>
      <c r="K59" s="1272"/>
      <c r="L59" s="1272"/>
      <c r="M59" s="1365">
        <f>'Админ. расх. (2)'!AB49</f>
        <v>188.63523000000001</v>
      </c>
      <c r="N59" s="1276"/>
      <c r="O59" s="1276"/>
    </row>
    <row r="60" spans="1:15" ht="16.5" customHeight="1" thickTop="1" thickBot="1">
      <c r="A60" s="235"/>
      <c r="B60" s="281" t="s">
        <v>1714</v>
      </c>
      <c r="C60" s="384" t="s">
        <v>11</v>
      </c>
      <c r="D60" s="1272"/>
      <c r="E60" s="1272"/>
      <c r="F60" s="1273"/>
      <c r="G60" s="1791"/>
      <c r="H60" s="1791"/>
      <c r="I60" s="1791"/>
      <c r="J60" s="1792"/>
      <c r="K60" s="1272"/>
      <c r="L60" s="1272"/>
      <c r="M60" s="1365">
        <f>'Админ. расх. (2)'!AB50</f>
        <v>256.07439577307912</v>
      </c>
      <c r="N60" s="1276"/>
      <c r="O60" s="1276"/>
    </row>
    <row r="61" spans="1:15" ht="29.25" customHeight="1" thickTop="1" thickBot="1">
      <c r="A61" s="235"/>
      <c r="B61" s="219" t="s">
        <v>1689</v>
      </c>
      <c r="C61" s="384" t="s">
        <v>11</v>
      </c>
      <c r="D61" s="1272"/>
      <c r="E61" s="1272"/>
      <c r="F61" s="1273"/>
      <c r="G61" s="1791"/>
      <c r="H61" s="1791"/>
      <c r="I61" s="1791"/>
      <c r="J61" s="1792"/>
      <c r="K61" s="1272"/>
      <c r="L61" s="1272"/>
      <c r="M61" s="1365">
        <f>'Админ. расх. (2)'!AB51</f>
        <v>404.10904000000005</v>
      </c>
      <c r="N61" s="1276"/>
      <c r="O61" s="1276"/>
    </row>
    <row r="62" spans="1:15" ht="29.25" customHeight="1" thickTop="1" thickBot="1">
      <c r="A62" s="235"/>
      <c r="B62" s="219" t="s">
        <v>1755</v>
      </c>
      <c r="C62" s="384" t="s">
        <v>11</v>
      </c>
      <c r="D62" s="1272"/>
      <c r="E62" s="1272"/>
      <c r="F62" s="1273"/>
      <c r="G62" s="1791"/>
      <c r="H62" s="1791"/>
      <c r="I62" s="1791"/>
      <c r="J62" s="1792"/>
      <c r="K62" s="1272"/>
      <c r="L62" s="1272"/>
      <c r="M62" s="1365">
        <f>'Админ. расх. (2)'!AB52</f>
        <v>323.41200588000004</v>
      </c>
      <c r="N62" s="1276"/>
      <c r="O62" s="1276"/>
    </row>
    <row r="63" spans="1:15" ht="27" thickTop="1" thickBot="1">
      <c r="A63" s="235" t="s">
        <v>97</v>
      </c>
      <c r="B63" s="219" t="s">
        <v>98</v>
      </c>
      <c r="C63" s="384" t="s">
        <v>11</v>
      </c>
      <c r="D63" s="1272">
        <v>5600</v>
      </c>
      <c r="E63" s="1272">
        <v>4833.13</v>
      </c>
      <c r="F63" s="1273">
        <v>4904.16</v>
      </c>
      <c r="G63" s="1791">
        <v>5456.76</v>
      </c>
      <c r="H63" s="1791">
        <f>'Админ. расх. (2)'!O53*0.41</f>
        <v>2716.1187999999997</v>
      </c>
      <c r="I63" s="1791">
        <f>'Админ. расх. (2)'!P53*0.41</f>
        <v>5432.2375999999995</v>
      </c>
      <c r="J63" s="1792">
        <f>'Админ. расх. (2)'!S53</f>
        <v>0</v>
      </c>
      <c r="K63" s="1272">
        <f>'Админ. расх. (2)'!V53</f>
        <v>0</v>
      </c>
      <c r="L63" s="1272">
        <f>'Админ. расх. (2)'!Y53</f>
        <v>0</v>
      </c>
      <c r="M63" s="1365">
        <f>'Админ. расх. (2)'!AB53</f>
        <v>4707.4972000000007</v>
      </c>
      <c r="N63" s="1276"/>
      <c r="O63" s="1276"/>
    </row>
    <row r="64" spans="1:15" ht="26.25" hidden="1" thickTop="1">
      <c r="A64" s="1277" t="s">
        <v>543</v>
      </c>
      <c r="B64" s="281" t="s">
        <v>542</v>
      </c>
      <c r="C64" s="384" t="s">
        <v>11</v>
      </c>
      <c r="D64" s="1272" t="e">
        <f>#REF!*0.42</f>
        <v>#REF!</v>
      </c>
      <c r="E64" s="1272" t="e">
        <f>#REF!*0.42</f>
        <v>#REF!</v>
      </c>
      <c r="F64" s="1273"/>
      <c r="G64" s="1274"/>
      <c r="H64" s="1274"/>
      <c r="I64" s="1274"/>
      <c r="J64" s="1272"/>
      <c r="K64" s="1272"/>
      <c r="L64" s="1272"/>
      <c r="M64" s="1275"/>
      <c r="N64" s="1276"/>
      <c r="O64" s="1278"/>
    </row>
    <row r="65" spans="1:15" ht="31.5" thickTop="1" thickBot="1">
      <c r="A65" s="350" t="s">
        <v>99</v>
      </c>
      <c r="B65" s="1267" t="s">
        <v>100</v>
      </c>
      <c r="C65" s="1267" t="s">
        <v>11</v>
      </c>
      <c r="D65" s="1268">
        <f>D66</f>
        <v>0</v>
      </c>
      <c r="E65" s="1268">
        <f t="shared" ref="E65:F65" si="28">E66</f>
        <v>3164.8359999999998</v>
      </c>
      <c r="F65" s="1268">
        <f t="shared" si="28"/>
        <v>3100</v>
      </c>
      <c r="G65" s="1268">
        <f>'расшифровки ВО_2016'!G497</f>
        <v>3307.2536199999995</v>
      </c>
      <c r="H65" s="1268">
        <f>'сбытовые расходы'!H13/2/1000</f>
        <v>1653.6268099999998</v>
      </c>
      <c r="I65" s="1268">
        <f>'сбытовые расходы'!H13/1000</f>
        <v>3307.2536199999995</v>
      </c>
      <c r="J65" s="1268">
        <f>'Админ. расх. (2)'!S53</f>
        <v>0</v>
      </c>
      <c r="K65" s="1268">
        <f>'Админ. расх. (2)'!V53</f>
        <v>0</v>
      </c>
      <c r="L65" s="1268">
        <f>'Админ. расх. (2)'!Y53</f>
        <v>0</v>
      </c>
      <c r="M65" s="1268">
        <f>M66</f>
        <v>3449.4655256599995</v>
      </c>
      <c r="N65" s="1270"/>
      <c r="O65" s="1271"/>
    </row>
    <row r="66" spans="1:15" ht="39" thickBot="1">
      <c r="A66" s="1222" t="s">
        <v>101</v>
      </c>
      <c r="B66" s="196" t="s">
        <v>102</v>
      </c>
      <c r="C66" s="197" t="s">
        <v>11</v>
      </c>
      <c r="D66" s="967">
        <f>'расшифровки ВО_2016'!D497</f>
        <v>0</v>
      </c>
      <c r="E66" s="967">
        <f>'сбытовые расходы'!G13/1000</f>
        <v>3164.8359999999998</v>
      </c>
      <c r="F66" s="967">
        <v>3100</v>
      </c>
      <c r="G66" s="967">
        <f>'сбытовые расходы'!H13/1000</f>
        <v>3307.2536199999995</v>
      </c>
      <c r="H66" s="967">
        <f>'сбытовые расходы'!H13/2/1000</f>
        <v>1653.6268099999998</v>
      </c>
      <c r="I66" s="967">
        <f>'сбытовые расходы'!H13/1000</f>
        <v>3307.2536199999995</v>
      </c>
      <c r="J66" s="967">
        <f>'расшифровки ВО_2016'!J497</f>
        <v>3449.4655256599995</v>
      </c>
      <c r="K66" s="967">
        <f>'расшифровки ВО_2016'!K497</f>
        <v>3597.7925432633792</v>
      </c>
      <c r="L66" s="967">
        <f>'расшифровки ВО_2016'!L497</f>
        <v>3597.7925432633792</v>
      </c>
      <c r="M66" s="3016">
        <f>'расшифровки ВО_2016'!Q497</f>
        <v>3449.4655256599995</v>
      </c>
      <c r="N66" s="906"/>
      <c r="O66" s="907"/>
    </row>
    <row r="67" spans="1:15" ht="15.75" thickBot="1">
      <c r="A67" s="24" t="s">
        <v>103</v>
      </c>
      <c r="B67" s="7" t="s">
        <v>104</v>
      </c>
      <c r="C67" s="7" t="s">
        <v>11</v>
      </c>
      <c r="D67" s="968">
        <f t="shared" ref="D67:L67" si="29">D68</f>
        <v>22892</v>
      </c>
      <c r="E67" s="968">
        <f t="shared" si="29"/>
        <v>33784.004999999997</v>
      </c>
      <c r="F67" s="974">
        <f t="shared" si="29"/>
        <v>29290</v>
      </c>
      <c r="G67" s="975">
        <f t="shared" si="29"/>
        <v>60340.37004999999</v>
      </c>
      <c r="H67" s="975">
        <f t="shared" si="29"/>
        <v>15527.570000000002</v>
      </c>
      <c r="I67" s="975">
        <f t="shared" si="29"/>
        <v>31210.415700000001</v>
      </c>
      <c r="J67" s="975">
        <f t="shared" si="29"/>
        <v>41126.863845</v>
      </c>
      <c r="K67" s="975">
        <f t="shared" si="29"/>
        <v>69815.529024999996</v>
      </c>
      <c r="L67" s="975">
        <f t="shared" si="29"/>
        <v>119156.89571999999</v>
      </c>
      <c r="M67" s="975">
        <f>M68</f>
        <v>43479.113069999999</v>
      </c>
      <c r="N67" s="903"/>
      <c r="O67" s="904"/>
    </row>
    <row r="68" spans="1:15" ht="97.5" customHeight="1" thickBot="1">
      <c r="A68" s="1222" t="s">
        <v>105</v>
      </c>
      <c r="B68" s="196" t="s">
        <v>1552</v>
      </c>
      <c r="C68" s="197" t="s">
        <v>11</v>
      </c>
      <c r="D68" s="911">
        <v>22892</v>
      </c>
      <c r="E68" s="911">
        <f>'расшифровки ВО_2016'!E413+'расшифровки ВО_2016'!E414+'расшифровки ВО_2016'!E415</f>
        <v>33784.004999999997</v>
      </c>
      <c r="F68" s="911">
        <v>29290</v>
      </c>
      <c r="G68" s="911">
        <f>'расшифровки ВО_2016'!G413+'расшифровки ВО_2016'!G414+'расшифровки ВО_2016'!G415+'расшифровки ВО_2016'!G417</f>
        <v>60340.37004999999</v>
      </c>
      <c r="H68" s="911">
        <f>'расшифровки ВО_2016'!H413+'расшифровки ВО_2016'!H414+'расшифровки ВО_2016'!H415</f>
        <v>15527.570000000002</v>
      </c>
      <c r="I68" s="911">
        <f>'расшифровки ВО_2016'!I413+'расшифровки ВО_2016'!I414+'расшифровки ВО_2016'!I415</f>
        <v>31210.415700000001</v>
      </c>
      <c r="J68" s="911">
        <f>'расшифровки ВО_2016'!J413+'расшифровки ВО_2016'!J414+'расшифровки ВО_2016'!J415</f>
        <v>41126.863845</v>
      </c>
      <c r="K68" s="911">
        <f>'расшифровки ВО_2016'!K413+'расшифровки ВО_2016'!K414+'расшифровки ВО_2016'!K415</f>
        <v>69815.529024999996</v>
      </c>
      <c r="L68" s="911">
        <f>'расшифровки ВО_2016'!L413+'расшифровки ВО_2016'!L414+'расшифровки ВО_2016'!L415</f>
        <v>119156.89571999999</v>
      </c>
      <c r="M68" s="913">
        <f>'расшифровки ВО_2016'!Q424</f>
        <v>43479.113069999999</v>
      </c>
      <c r="N68" s="914"/>
      <c r="O68" s="912"/>
    </row>
    <row r="69" spans="1:15" ht="45.75" hidden="1" thickBot="1">
      <c r="A69" s="29" t="s">
        <v>106</v>
      </c>
      <c r="B69" s="31" t="s">
        <v>107</v>
      </c>
      <c r="C69" s="30" t="s">
        <v>11</v>
      </c>
      <c r="D69" s="908">
        <f t="shared" ref="D69:L69" si="30">D70+D71+D72+D73</f>
        <v>0</v>
      </c>
      <c r="E69" s="908">
        <f t="shared" si="30"/>
        <v>0</v>
      </c>
      <c r="F69" s="909">
        <f t="shared" si="30"/>
        <v>0</v>
      </c>
      <c r="G69" s="910">
        <f t="shared" si="30"/>
        <v>0</v>
      </c>
      <c r="H69" s="910">
        <f t="shared" ref="H69:I69" si="31">H70+H71+H72+H73</f>
        <v>0</v>
      </c>
      <c r="I69" s="910">
        <f t="shared" si="31"/>
        <v>0</v>
      </c>
      <c r="J69" s="910">
        <f t="shared" si="30"/>
        <v>0</v>
      </c>
      <c r="K69" s="910">
        <f t="shared" si="30"/>
        <v>0</v>
      </c>
      <c r="L69" s="910">
        <f t="shared" si="30"/>
        <v>0</v>
      </c>
      <c r="M69" s="910">
        <v>0</v>
      </c>
      <c r="N69" s="903"/>
      <c r="O69" s="904"/>
    </row>
    <row r="70" spans="1:15" ht="15.75" hidden="1" thickBot="1">
      <c r="A70" s="1223" t="s">
        <v>108</v>
      </c>
      <c r="B70" s="139" t="s">
        <v>109</v>
      </c>
      <c r="C70" s="199" t="s">
        <v>11</v>
      </c>
      <c r="D70" s="915">
        <v>0</v>
      </c>
      <c r="E70" s="915">
        <f>'расшифровки ВО_2016'!E436</f>
        <v>0</v>
      </c>
      <c r="F70" s="916">
        <f>'расшифровки ВО_2016'!F436</f>
        <v>0</v>
      </c>
      <c r="G70" s="917">
        <f>'расшифровки ВО_2016'!G436</f>
        <v>0</v>
      </c>
      <c r="H70" s="917">
        <f>'расшифровки ВО_2016'!H436</f>
        <v>0</v>
      </c>
      <c r="I70" s="917">
        <f>'расшифровки ВО_2016'!I436</f>
        <v>0</v>
      </c>
      <c r="J70" s="918">
        <v>0</v>
      </c>
      <c r="K70" s="918">
        <v>0</v>
      </c>
      <c r="L70" s="918">
        <v>0</v>
      </c>
      <c r="M70" s="919">
        <v>0</v>
      </c>
      <c r="N70" s="920"/>
      <c r="O70" s="918"/>
    </row>
    <row r="71" spans="1:15" ht="16.5" hidden="1" thickTop="1" thickBot="1">
      <c r="A71" s="1221" t="s">
        <v>110</v>
      </c>
      <c r="B71" s="142" t="s">
        <v>111</v>
      </c>
      <c r="C71" s="200" t="s">
        <v>11</v>
      </c>
      <c r="D71" s="915">
        <f>'расшифровки ВО_2016'!D437</f>
        <v>0</v>
      </c>
      <c r="E71" s="915">
        <f>'расшифровки ВО_2016'!E437</f>
        <v>0</v>
      </c>
      <c r="F71" s="916">
        <f>'расшифровки ВО_2016'!F437</f>
        <v>0</v>
      </c>
      <c r="G71" s="917">
        <f>'расшифровки ВО_2016'!G437</f>
        <v>0</v>
      </c>
      <c r="H71" s="917">
        <f>'расшифровки ВО_2016'!H437</f>
        <v>0</v>
      </c>
      <c r="I71" s="917">
        <f>'расшифровки ВО_2016'!I437</f>
        <v>0</v>
      </c>
      <c r="J71" s="918">
        <v>0</v>
      </c>
      <c r="K71" s="918">
        <v>0</v>
      </c>
      <c r="L71" s="918">
        <v>0</v>
      </c>
      <c r="M71" s="919">
        <v>0</v>
      </c>
      <c r="N71" s="920"/>
      <c r="O71" s="918"/>
    </row>
    <row r="72" spans="1:15" ht="16.5" hidden="1" thickTop="1" thickBot="1">
      <c r="A72" s="1221" t="s">
        <v>112</v>
      </c>
      <c r="B72" s="142" t="s">
        <v>113</v>
      </c>
      <c r="C72" s="200" t="s">
        <v>11</v>
      </c>
      <c r="D72" s="915">
        <f>'расшифровки ВО_2016'!D438</f>
        <v>0</v>
      </c>
      <c r="E72" s="915">
        <f>'расшифровки ВО_2016'!E438</f>
        <v>0</v>
      </c>
      <c r="F72" s="916">
        <f>'расшифровки ВО_2016'!F438</f>
        <v>0</v>
      </c>
      <c r="G72" s="917">
        <f>'расшифровки ВО_2016'!G438</f>
        <v>0</v>
      </c>
      <c r="H72" s="917">
        <f>'расшифровки ВО_2016'!H438</f>
        <v>0</v>
      </c>
      <c r="I72" s="917">
        <f>'расшифровки ВО_2016'!I438</f>
        <v>0</v>
      </c>
      <c r="J72" s="918">
        <v>0</v>
      </c>
      <c r="K72" s="918">
        <v>0</v>
      </c>
      <c r="L72" s="918">
        <v>0</v>
      </c>
      <c r="M72" s="919">
        <v>0</v>
      </c>
      <c r="N72" s="920"/>
      <c r="O72" s="918"/>
    </row>
    <row r="73" spans="1:15" ht="16.5" hidden="1" thickTop="1" thickBot="1">
      <c r="A73" s="1224" t="s">
        <v>114</v>
      </c>
      <c r="B73" s="196" t="s">
        <v>115</v>
      </c>
      <c r="C73" s="202" t="s">
        <v>11</v>
      </c>
      <c r="D73" s="915">
        <f>'расшифровки ВО_2016'!D439</f>
        <v>0</v>
      </c>
      <c r="E73" s="915">
        <f>'расшифровки ВО_2016'!E439</f>
        <v>0</v>
      </c>
      <c r="F73" s="916">
        <f>'расшифровки ВО_2016'!F439</f>
        <v>0</v>
      </c>
      <c r="G73" s="917">
        <f>'расшифровки ВО_2016'!G439</f>
        <v>0</v>
      </c>
      <c r="H73" s="917">
        <f>'расшифровки ВО_2016'!H439</f>
        <v>0</v>
      </c>
      <c r="I73" s="917">
        <f>'расшифровки ВО_2016'!I439</f>
        <v>0</v>
      </c>
      <c r="J73" s="918">
        <v>0</v>
      </c>
      <c r="K73" s="918">
        <v>0</v>
      </c>
      <c r="L73" s="918">
        <v>0</v>
      </c>
      <c r="M73" s="919">
        <v>0</v>
      </c>
      <c r="N73" s="920"/>
      <c r="O73" s="918"/>
    </row>
    <row r="74" spans="1:15" ht="31.5" customHeight="1" thickTop="1" thickBot="1">
      <c r="A74" s="170" t="s">
        <v>116</v>
      </c>
      <c r="B74" s="31" t="s">
        <v>117</v>
      </c>
      <c r="C74" s="1398" t="s">
        <v>11</v>
      </c>
      <c r="D74" s="1399">
        <f>SUM(D75:D80)</f>
        <v>14808.484912000002</v>
      </c>
      <c r="E74" s="1399">
        <f>SUM(E75:E80)</f>
        <v>13536.307879999998</v>
      </c>
      <c r="F74" s="1400">
        <f>SUM(F75:F80)+0.34</f>
        <v>17018.75</v>
      </c>
      <c r="G74" s="1401">
        <f>SUM(G75:G80)</f>
        <v>14014.248263999998</v>
      </c>
      <c r="H74" s="1401">
        <f>SUM(H75:H80)</f>
        <v>7689.1007711999991</v>
      </c>
      <c r="I74" s="1401">
        <f>SUM(I75:I80)</f>
        <v>22336.229348066667</v>
      </c>
      <c r="J74" s="1401">
        <f t="shared" ref="J74:L74" si="32">SUM(J75:J80)</f>
        <v>51753.20993528</v>
      </c>
      <c r="K74" s="1401">
        <f t="shared" si="32"/>
        <v>52299.822748811835</v>
      </c>
      <c r="L74" s="1401">
        <f t="shared" si="32"/>
        <v>52871.093995604948</v>
      </c>
      <c r="M74" s="1401">
        <v>31472</v>
      </c>
      <c r="N74" s="1411"/>
      <c r="O74" s="1402"/>
    </row>
    <row r="75" spans="1:15" ht="16.5" thickTop="1" thickBot="1">
      <c r="A75" s="1221" t="s">
        <v>118</v>
      </c>
      <c r="B75" s="203" t="s">
        <v>119</v>
      </c>
      <c r="C75" s="200" t="s">
        <v>11</v>
      </c>
      <c r="D75" s="922">
        <f>'расшифровки ВО_2016'!D460</f>
        <v>10000</v>
      </c>
      <c r="E75" s="922">
        <f>налоги!C112</f>
        <v>9287.7976799999997</v>
      </c>
      <c r="F75" s="922">
        <f>'расшифровки ВО_2016'!F460</f>
        <v>10000</v>
      </c>
      <c r="G75" s="922">
        <f>'расшифровки ВО_2016'!G460</f>
        <v>9752.1875639999998</v>
      </c>
      <c r="H75" s="922">
        <f>'расшифровки ВО_2016'!H460</f>
        <v>4381.9133759999995</v>
      </c>
      <c r="I75" s="922">
        <f>'расшифровки ВО_2016'!I460</f>
        <v>15721.854557666666</v>
      </c>
      <c r="J75" s="922">
        <f>'расшифровки ВО_2016'!J460</f>
        <v>45072.691396975999</v>
      </c>
      <c r="K75" s="922">
        <f>'расшифровки ВО_2016'!K460</f>
        <v>45552.499025124802</v>
      </c>
      <c r="L75" s="922">
        <f>'расшифровки ВО_2016'!L460</f>
        <v>46056.29703468104</v>
      </c>
      <c r="M75" s="924">
        <f>'расшифровки ВО_2016'!Q460</f>
        <v>24370</v>
      </c>
      <c r="N75" s="925"/>
      <c r="O75" s="923"/>
    </row>
    <row r="76" spans="1:15" ht="27" thickTop="1" thickBot="1">
      <c r="A76" s="1221" t="s">
        <v>120</v>
      </c>
      <c r="B76" s="204" t="s">
        <v>121</v>
      </c>
      <c r="C76" s="200" t="s">
        <v>11</v>
      </c>
      <c r="D76" s="922">
        <f>'расшифровки ВО_2016'!D461-0.87</f>
        <v>417.01</v>
      </c>
      <c r="E76" s="922">
        <v>0</v>
      </c>
      <c r="F76" s="922">
        <f>'расшифровки ВО_2016'!F461</f>
        <v>1475.41</v>
      </c>
      <c r="G76" s="922">
        <f>'расшифровки ВО_2016'!G461</f>
        <v>0</v>
      </c>
      <c r="H76" s="922">
        <f>'расшифровки ВО_2016'!H461</f>
        <v>0</v>
      </c>
      <c r="I76" s="922">
        <f>'расшифровки ВО_2016'!I461</f>
        <v>0</v>
      </c>
      <c r="J76" s="922">
        <f>'расшифровки ВО_2016'!L461</f>
        <v>0</v>
      </c>
      <c r="K76" s="922">
        <f>'расшифровки ВО_2016'!Q461</f>
        <v>0</v>
      </c>
      <c r="L76" s="922">
        <f>'расшифровки ВО_2016'!R461</f>
        <v>0</v>
      </c>
      <c r="M76" s="924">
        <v>0</v>
      </c>
      <c r="N76" s="925"/>
      <c r="O76" s="923"/>
    </row>
    <row r="77" spans="1:15" ht="36" customHeight="1" thickTop="1" thickBot="1">
      <c r="A77" s="1221" t="s">
        <v>122</v>
      </c>
      <c r="B77" s="204" t="s">
        <v>123</v>
      </c>
      <c r="C77" s="200" t="s">
        <v>11</v>
      </c>
      <c r="D77" s="922">
        <f>'расшифровки ВО_2016'!D462-0.18</f>
        <v>2309.9960000000001</v>
      </c>
      <c r="E77" s="922"/>
      <c r="F77" s="922">
        <v>0</v>
      </c>
      <c r="G77" s="922">
        <f>'расшифровки ВО_2016'!G462</f>
        <v>0</v>
      </c>
      <c r="H77" s="922">
        <f>'расшифровки ВО_2016'!H462</f>
        <v>0</v>
      </c>
      <c r="I77" s="922">
        <f>'расшифровки ВО_2016'!I462</f>
        <v>0</v>
      </c>
      <c r="J77" s="922">
        <f>'расшифровки ВО_2016'!J462</f>
        <v>0</v>
      </c>
      <c r="K77" s="922">
        <f>'расшифровки ВО_2016'!K462</f>
        <v>0</v>
      </c>
      <c r="L77" s="922">
        <f>'расшифровки ВО_2016'!L462</f>
        <v>0</v>
      </c>
      <c r="M77" s="924">
        <v>0</v>
      </c>
      <c r="N77" s="925"/>
      <c r="O77" s="923"/>
    </row>
    <row r="78" spans="1:15" ht="16.5" thickTop="1" thickBot="1">
      <c r="A78" s="1221" t="s">
        <v>124</v>
      </c>
      <c r="B78" s="203" t="s">
        <v>629</v>
      </c>
      <c r="C78" s="200" t="s">
        <v>11</v>
      </c>
      <c r="D78" s="922">
        <f>'расшифровки ВО_2016'!D465</f>
        <v>1893.318912</v>
      </c>
      <c r="E78" s="922">
        <f>налоги!C120</f>
        <v>3977.5001999999995</v>
      </c>
      <c r="F78" s="922">
        <f>'расшифровки ВО_2016'!F465</f>
        <v>5326</v>
      </c>
      <c r="G78" s="922">
        <f>'расшифровки ВО_2016'!G465</f>
        <v>3977.5001999999995</v>
      </c>
      <c r="H78" s="922">
        <f>'расшифровки ВО_2016'!H465</f>
        <v>3151.2009599999997</v>
      </c>
      <c r="I78" s="922">
        <f>'расшифровки ВО_2016'!I465</f>
        <v>6302.4019199999993</v>
      </c>
      <c r="J78" s="922">
        <f>'расшифровки ВО_2016'!J465</f>
        <v>6365.4259391999994</v>
      </c>
      <c r="K78" s="922">
        <f>'расшифровки ВО_2016'!K465</f>
        <v>6429.0801985919998</v>
      </c>
      <c r="L78" s="922">
        <f>'расшифровки ВО_2016'!L465</f>
        <v>6493.3710005779203</v>
      </c>
      <c r="M78" s="924">
        <f>'расшифровки ВО_2016'!Q465</f>
        <v>5326</v>
      </c>
      <c r="N78" s="925"/>
      <c r="O78" s="923"/>
    </row>
    <row r="79" spans="1:15" ht="16.5" thickTop="1" thickBot="1">
      <c r="A79" s="1221" t="s">
        <v>126</v>
      </c>
      <c r="B79" s="203" t="s">
        <v>127</v>
      </c>
      <c r="C79" s="200" t="s">
        <v>11</v>
      </c>
      <c r="D79" s="922">
        <f>'расшифровки ВО_2016'!D466</f>
        <v>188.16</v>
      </c>
      <c r="E79" s="922">
        <f>'расшифровки ВО_2016'!E467</f>
        <v>271.01</v>
      </c>
      <c r="F79" s="922">
        <f>'расшифровки ВО_2016'!F466</f>
        <v>217</v>
      </c>
      <c r="G79" s="922">
        <f>'расшифровки ВО_2016'!G466</f>
        <v>284.56049999999999</v>
      </c>
      <c r="H79" s="922">
        <f>'расшифровки ВО_2016'!H466</f>
        <v>155.98643519999999</v>
      </c>
      <c r="I79" s="922">
        <f>'расшифровки ВО_2016'!I466</f>
        <v>311.97287039999998</v>
      </c>
      <c r="J79" s="922">
        <f>'расшифровки ВО_2016'!J466</f>
        <v>315.09259910399999</v>
      </c>
      <c r="K79" s="922">
        <f>'расшифровки ВО_2016'!K466</f>
        <v>318.24352509504001</v>
      </c>
      <c r="L79" s="922">
        <f>'расшифровки ВО_2016'!L466</f>
        <v>321.42596034599035</v>
      </c>
      <c r="M79" s="924">
        <f>'расшифровки ВО_2016'!Q466</f>
        <v>315.09259910399999</v>
      </c>
      <c r="N79" s="925"/>
      <c r="O79" s="923"/>
    </row>
    <row r="80" spans="1:15" ht="63" customHeight="1" thickTop="1" thickBot="1">
      <c r="A80" s="1225" t="s">
        <v>128</v>
      </c>
      <c r="B80" s="2449" t="s">
        <v>129</v>
      </c>
      <c r="C80" s="206" t="s">
        <v>11</v>
      </c>
      <c r="D80" s="3017">
        <f>'расшифровки ВО_2016'!D471</f>
        <v>0</v>
      </c>
      <c r="E80" s="3017">
        <f>'расшифровки ВО_2016'!E471</f>
        <v>0</v>
      </c>
      <c r="F80" s="3017">
        <v>0</v>
      </c>
      <c r="G80" s="3017">
        <f>'расшифровки ВО_2016'!G471</f>
        <v>0</v>
      </c>
      <c r="H80" s="3017">
        <f>'расшифровки ВО_2016'!H471</f>
        <v>0</v>
      </c>
      <c r="I80" s="3017">
        <f>'расшифровки ВО_2016'!I471</f>
        <v>0</v>
      </c>
      <c r="J80" s="3017">
        <f>'расшифровки ВО_2016'!L471</f>
        <v>0</v>
      </c>
      <c r="K80" s="3017">
        <f>'расшифровки ВО_2016'!Q471</f>
        <v>0</v>
      </c>
      <c r="L80" s="3017">
        <f>'расшифровки ВО_2016'!R471</f>
        <v>0</v>
      </c>
      <c r="M80" s="3018">
        <v>0</v>
      </c>
      <c r="N80" s="925"/>
      <c r="O80" s="923"/>
    </row>
    <row r="81" spans="1:16" ht="16.5" hidden="1" customHeight="1" thickTop="1" thickBot="1">
      <c r="A81" s="3414" t="s">
        <v>966</v>
      </c>
      <c r="B81" s="1240" t="s">
        <v>964</v>
      </c>
      <c r="C81" s="1242" t="s">
        <v>11</v>
      </c>
      <c r="D81" s="1241">
        <v>0</v>
      </c>
      <c r="E81" s="1237"/>
      <c r="F81" s="1237">
        <v>0</v>
      </c>
      <c r="G81" s="1237"/>
      <c r="H81" s="1237"/>
      <c r="I81" s="1237"/>
      <c r="J81" s="1237"/>
      <c r="K81" s="1237"/>
      <c r="L81" s="1237"/>
      <c r="M81" s="1238"/>
      <c r="N81" s="1238"/>
      <c r="O81" s="1239"/>
    </row>
    <row r="82" spans="1:16" ht="16.5" hidden="1" thickTop="1" thickBot="1">
      <c r="A82" s="3415"/>
      <c r="B82" s="1240" t="s">
        <v>965</v>
      </c>
      <c r="C82" s="1242" t="s">
        <v>11</v>
      </c>
      <c r="D82" s="1241">
        <v>0</v>
      </c>
      <c r="E82" s="1237"/>
      <c r="F82" s="1237">
        <v>0</v>
      </c>
      <c r="G82" s="1237"/>
      <c r="H82" s="1237"/>
      <c r="I82" s="1237"/>
      <c r="J82" s="1237"/>
      <c r="K82" s="1237"/>
      <c r="L82" s="1237"/>
      <c r="M82" s="3195"/>
      <c r="N82" s="1238"/>
      <c r="O82" s="1239"/>
    </row>
    <row r="83" spans="1:16" ht="36.75" customHeight="1" thickTop="1" thickBot="1">
      <c r="A83" s="2443"/>
      <c r="B83" s="1240" t="s">
        <v>1540</v>
      </c>
      <c r="C83" s="2444"/>
      <c r="D83" s="1241"/>
      <c r="E83" s="1237"/>
      <c r="F83" s="1237"/>
      <c r="G83" s="1237"/>
      <c r="H83" s="1237">
        <f>243461.24/2+80342.21/2</f>
        <v>161901.72500000001</v>
      </c>
      <c r="I83" s="1237">
        <f>243461.24+80342.212</f>
        <v>323803.45199999999</v>
      </c>
      <c r="J83" s="1237">
        <f>I83</f>
        <v>323803.45199999999</v>
      </c>
      <c r="K83" s="1237">
        <f>J83</f>
        <v>323803.45199999999</v>
      </c>
      <c r="L83" s="1237">
        <f>K83</f>
        <v>323803.45199999999</v>
      </c>
      <c r="M83" s="2865">
        <v>0</v>
      </c>
      <c r="N83" s="1238"/>
      <c r="O83" s="1239"/>
    </row>
    <row r="84" spans="1:16" ht="19.5" thickBot="1">
      <c r="A84" s="352"/>
      <c r="B84" s="354" t="s">
        <v>510</v>
      </c>
      <c r="C84" s="353" t="s">
        <v>11</v>
      </c>
      <c r="D84" s="926">
        <f t="shared" ref="D84:L84" si="33">D10+D34+D40+D65+D67+D69+D74+D81+D82+D83</f>
        <v>280448.8814022399</v>
      </c>
      <c r="E84" s="926">
        <f t="shared" si="33"/>
        <v>303051.52242510999</v>
      </c>
      <c r="F84" s="926">
        <f t="shared" si="33"/>
        <v>396037.02002020704</v>
      </c>
      <c r="G84" s="926">
        <f t="shared" si="33"/>
        <v>420576.13408469886</v>
      </c>
      <c r="H84" s="926">
        <f t="shared" si="33"/>
        <v>331622.6844156041</v>
      </c>
      <c r="I84" s="926">
        <f t="shared" si="33"/>
        <v>731985.4963528777</v>
      </c>
      <c r="J84" s="926">
        <f t="shared" si="33"/>
        <v>935803.55263440474</v>
      </c>
      <c r="K84" s="926">
        <f t="shared" si="33"/>
        <v>904445.92361785471</v>
      </c>
      <c r="L84" s="926">
        <f t="shared" si="33"/>
        <v>955026.93654903257</v>
      </c>
      <c r="M84" s="931">
        <f>M10+M34+M40+M65+M67+M69+M74-12000</f>
        <v>439929.52636798652</v>
      </c>
      <c r="N84" s="928"/>
      <c r="O84" s="927"/>
    </row>
    <row r="85" spans="1:16" ht="15.75" thickBot="1">
      <c r="A85" s="350" t="s">
        <v>130</v>
      </c>
      <c r="B85" s="351" t="s">
        <v>131</v>
      </c>
      <c r="C85" s="351" t="s">
        <v>11</v>
      </c>
      <c r="D85" s="929">
        <v>16980.5</v>
      </c>
      <c r="E85" s="929">
        <f t="shared" ref="E85:L85" si="34">SUM(E87:E92)</f>
        <v>13136.2666727533</v>
      </c>
      <c r="F85" s="929">
        <f t="shared" si="34"/>
        <v>16348.869999999999</v>
      </c>
      <c r="G85" s="929">
        <f t="shared" si="34"/>
        <v>17219.050141451371</v>
      </c>
      <c r="H85" s="929">
        <f t="shared" ref="H85:I85" si="35">SUM(H87:H92)</f>
        <v>14258.620968978148</v>
      </c>
      <c r="I85" s="929">
        <f t="shared" si="35"/>
        <v>28554.763649856402</v>
      </c>
      <c r="J85" s="929">
        <f t="shared" si="34"/>
        <v>35647.159592416741</v>
      </c>
      <c r="K85" s="929">
        <f t="shared" si="34"/>
        <v>44068.245324485208</v>
      </c>
      <c r="L85" s="929">
        <f t="shared" si="34"/>
        <v>41343.433047625658</v>
      </c>
      <c r="M85" s="931">
        <f>'Расчёт ВО методом индексаци '!O17</f>
        <v>8880</v>
      </c>
      <c r="N85" s="930"/>
      <c r="O85" s="1226"/>
    </row>
    <row r="86" spans="1:16" ht="15.75" hidden="1" thickBot="1">
      <c r="A86" s="1227"/>
      <c r="B86" s="159"/>
      <c r="C86" s="159"/>
      <c r="D86" s="1201"/>
      <c r="E86" s="1201"/>
      <c r="F86" s="1201"/>
      <c r="G86" s="1201"/>
      <c r="H86" s="1201"/>
      <c r="I86" s="1201"/>
      <c r="J86" s="1201"/>
      <c r="K86" s="1201"/>
      <c r="L86" s="1201"/>
      <c r="M86" s="1203"/>
      <c r="N86" s="1202"/>
      <c r="O86" s="1228"/>
    </row>
    <row r="87" spans="1:16" ht="15.75" thickBot="1">
      <c r="A87" s="1229" t="s">
        <v>132</v>
      </c>
      <c r="B87" s="329" t="s">
        <v>505</v>
      </c>
      <c r="C87" s="328" t="s">
        <v>11</v>
      </c>
      <c r="D87" s="932">
        <v>0</v>
      </c>
      <c r="E87" s="932">
        <v>2410.83</v>
      </c>
      <c r="F87" s="932">
        <v>2724.81</v>
      </c>
      <c r="G87" s="933">
        <v>2869.8416589104017</v>
      </c>
      <c r="H87" s="933">
        <v>2376.4368365100249</v>
      </c>
      <c r="I87" s="933">
        <v>4759.358831670067</v>
      </c>
      <c r="J87" s="934">
        <v>5763.1919526846004</v>
      </c>
      <c r="K87" s="935">
        <v>7359.3921788877042</v>
      </c>
      <c r="L87" s="933">
        <v>6903.6616599371209</v>
      </c>
      <c r="M87" s="936">
        <v>10018</v>
      </c>
      <c r="N87" s="937"/>
      <c r="O87" s="934"/>
    </row>
    <row r="88" spans="1:16" ht="26.25" thickBot="1">
      <c r="A88" s="1230" t="s">
        <v>134</v>
      </c>
      <c r="B88" s="718" t="s">
        <v>133</v>
      </c>
      <c r="C88" s="719" t="s">
        <v>11</v>
      </c>
      <c r="D88" s="976"/>
      <c r="E88" s="976"/>
      <c r="F88" s="976"/>
      <c r="G88" s="977"/>
      <c r="H88" s="977"/>
      <c r="I88" s="977"/>
      <c r="J88" s="977"/>
      <c r="K88" s="977"/>
      <c r="L88" s="977"/>
      <c r="M88" s="943"/>
      <c r="N88" s="944"/>
      <c r="O88" s="941"/>
    </row>
    <row r="89" spans="1:16" ht="16.5" thickTop="1" thickBot="1">
      <c r="A89" s="1221" t="s">
        <v>135</v>
      </c>
      <c r="B89" s="203" t="s">
        <v>136</v>
      </c>
      <c r="C89" s="200" t="s">
        <v>11</v>
      </c>
      <c r="D89" s="945">
        <f>Кап.вложения!E25</f>
        <v>0</v>
      </c>
      <c r="E89" s="945">
        <f>Кап.вложения!F25</f>
        <v>0</v>
      </c>
      <c r="F89" s="945">
        <v>0</v>
      </c>
      <c r="G89" s="945">
        <f>Кап.вложения!H25</f>
        <v>0</v>
      </c>
      <c r="H89" s="945">
        <v>0</v>
      </c>
      <c r="I89" s="945">
        <f>Кап.вложения!J25</f>
        <v>0</v>
      </c>
      <c r="J89" s="945">
        <v>0</v>
      </c>
      <c r="K89" s="945">
        <f>Кап.вложения!J25</f>
        <v>0</v>
      </c>
      <c r="L89" s="945">
        <f>Кап.вложения!K25</f>
        <v>0</v>
      </c>
      <c r="M89" s="950"/>
      <c r="N89" s="951"/>
      <c r="O89" s="948"/>
    </row>
    <row r="90" spans="1:16" ht="65.25" thickTop="1" thickBot="1">
      <c r="A90" s="1231" t="s">
        <v>138</v>
      </c>
      <c r="B90" s="209" t="s">
        <v>137</v>
      </c>
      <c r="C90" s="210" t="s">
        <v>11</v>
      </c>
      <c r="D90" s="641">
        <v>16980.5</v>
      </c>
      <c r="E90" s="641">
        <f>3985.1*0.41</f>
        <v>1633.8909999999998</v>
      </c>
      <c r="F90" s="641">
        <v>1824.06</v>
      </c>
      <c r="G90" s="641">
        <f>E90*1.06</f>
        <v>1731.92446</v>
      </c>
      <c r="H90" s="641">
        <f>F90*1.06</f>
        <v>1933.5036</v>
      </c>
      <c r="I90" s="641">
        <f>G90*1.06</f>
        <v>1835.8399276</v>
      </c>
      <c r="J90" s="641">
        <f>G90*1.045</f>
        <v>1809.8610606999998</v>
      </c>
      <c r="K90" s="641">
        <f>J90*1.043</f>
        <v>1887.6850863100997</v>
      </c>
      <c r="L90" s="642">
        <f>K90*1.043</f>
        <v>1968.8555450214337</v>
      </c>
      <c r="M90" s="950">
        <v>1809.86</v>
      </c>
      <c r="N90" s="951"/>
      <c r="O90" s="948"/>
    </row>
    <row r="91" spans="1:16" ht="65.25" hidden="1" thickTop="1" thickBot="1">
      <c r="A91" s="1220" t="s">
        <v>139</v>
      </c>
      <c r="B91" s="204" t="s">
        <v>145</v>
      </c>
      <c r="C91" s="210" t="s">
        <v>11</v>
      </c>
      <c r="D91" s="945"/>
      <c r="E91" s="945"/>
      <c r="F91" s="946"/>
      <c r="G91" s="947"/>
      <c r="H91" s="947"/>
      <c r="I91" s="947"/>
      <c r="J91" s="948"/>
      <c r="K91" s="949"/>
      <c r="L91" s="947"/>
      <c r="M91" s="950"/>
      <c r="N91" s="951"/>
      <c r="O91" s="948"/>
    </row>
    <row r="92" spans="1:16" ht="52.5" thickTop="1" thickBot="1">
      <c r="A92" s="1225" t="s">
        <v>139</v>
      </c>
      <c r="B92" s="205" t="s">
        <v>952</v>
      </c>
      <c r="C92" s="211" t="s">
        <v>11</v>
      </c>
      <c r="D92" s="952"/>
      <c r="E92" s="952">
        <f t="shared" ref="E92:J92" si="36">E84*3/100</f>
        <v>9091.5456727533001</v>
      </c>
      <c r="F92" s="952">
        <v>11800</v>
      </c>
      <c r="G92" s="952">
        <f t="shared" si="36"/>
        <v>12617.284022540967</v>
      </c>
      <c r="H92" s="952">
        <f t="shared" ref="H92:I92" si="37">H84*3/100</f>
        <v>9948.6805324681227</v>
      </c>
      <c r="I92" s="952">
        <f t="shared" si="37"/>
        <v>21959.564890586335</v>
      </c>
      <c r="J92" s="952">
        <f t="shared" si="36"/>
        <v>28074.106579032141</v>
      </c>
      <c r="K92" s="952">
        <f>K84*3.85/100</f>
        <v>34821.168059287404</v>
      </c>
      <c r="L92" s="952">
        <f>L84*3.4/100</f>
        <v>32470.915842667106</v>
      </c>
      <c r="M92" s="953"/>
      <c r="N92" s="954"/>
      <c r="O92" s="955"/>
      <c r="P92">
        <f>M84*0.03</f>
        <v>13197.885791039595</v>
      </c>
    </row>
    <row r="93" spans="1:16" ht="26.25" thickBot="1">
      <c r="A93" s="167" t="s">
        <v>141</v>
      </c>
      <c r="B93" s="168" t="s">
        <v>386</v>
      </c>
      <c r="C93" s="28" t="s">
        <v>11</v>
      </c>
      <c r="D93" s="956">
        <f t="shared" ref="D93:L93" si="38">SUM(D94:D96)</f>
        <v>0</v>
      </c>
      <c r="E93" s="956">
        <f t="shared" si="38"/>
        <v>0</v>
      </c>
      <c r="F93" s="956">
        <f t="shared" si="38"/>
        <v>0</v>
      </c>
      <c r="G93" s="956">
        <f t="shared" si="38"/>
        <v>0</v>
      </c>
      <c r="H93" s="956">
        <f t="shared" ref="H93:I93" si="39">SUM(H94:H96)</f>
        <v>0</v>
      </c>
      <c r="I93" s="956">
        <f t="shared" si="39"/>
        <v>0</v>
      </c>
      <c r="J93" s="956">
        <f t="shared" si="38"/>
        <v>2971.36</v>
      </c>
      <c r="K93" s="956">
        <f t="shared" si="38"/>
        <v>0</v>
      </c>
      <c r="L93" s="956">
        <f t="shared" si="38"/>
        <v>0</v>
      </c>
      <c r="M93" s="959"/>
      <c r="N93" s="960"/>
      <c r="O93" s="958"/>
    </row>
    <row r="94" spans="1:16" ht="77.25" hidden="1" thickBot="1">
      <c r="A94" s="1232" t="s">
        <v>377</v>
      </c>
      <c r="B94" s="207" t="s">
        <v>378</v>
      </c>
      <c r="C94" s="212" t="s">
        <v>11</v>
      </c>
      <c r="D94" s="938"/>
      <c r="E94" s="938"/>
      <c r="F94" s="939"/>
      <c r="G94" s="940"/>
      <c r="H94" s="940"/>
      <c r="I94" s="940"/>
      <c r="J94" s="941"/>
      <c r="K94" s="942"/>
      <c r="L94" s="940"/>
      <c r="M94" s="943"/>
      <c r="N94" s="961"/>
      <c r="O94" s="941"/>
    </row>
    <row r="95" spans="1:16" ht="51" customHeight="1" thickTop="1">
      <c r="A95" s="1371" t="s">
        <v>379</v>
      </c>
      <c r="B95" s="1372" t="s">
        <v>1310</v>
      </c>
      <c r="C95" s="1373" t="s">
        <v>11</v>
      </c>
      <c r="D95" s="1374">
        <v>0</v>
      </c>
      <c r="E95" s="1374"/>
      <c r="F95" s="1375"/>
      <c r="G95" s="1281">
        <v>0</v>
      </c>
      <c r="H95" s="1281">
        <v>0</v>
      </c>
      <c r="I95" s="1281">
        <v>0</v>
      </c>
      <c r="J95" s="1279">
        <v>2971.36</v>
      </c>
      <c r="K95" s="1280"/>
      <c r="L95" s="1281"/>
      <c r="M95" s="1376"/>
      <c r="N95" s="1377"/>
      <c r="O95" s="1279"/>
    </row>
    <row r="96" spans="1:16" ht="53.25" hidden="1" customHeight="1">
      <c r="A96" s="282" t="s">
        <v>381</v>
      </c>
      <c r="B96" s="1378" t="s">
        <v>382</v>
      </c>
      <c r="C96" s="1379" t="s">
        <v>11</v>
      </c>
      <c r="D96" s="1367"/>
      <c r="E96" s="1367"/>
      <c r="F96" s="1368"/>
      <c r="G96" s="1367"/>
      <c r="H96" s="1367"/>
      <c r="I96" s="1367"/>
      <c r="J96" s="1367"/>
      <c r="K96" s="1367"/>
      <c r="L96" s="1367"/>
      <c r="M96" s="1368"/>
      <c r="N96" s="1367"/>
      <c r="O96" s="1367"/>
    </row>
    <row r="97" spans="1:15" ht="25.5">
      <c r="A97" s="282" t="s">
        <v>1028</v>
      </c>
      <c r="B97" s="1378" t="s">
        <v>1029</v>
      </c>
      <c r="C97" s="1379" t="s">
        <v>11</v>
      </c>
      <c r="D97" s="1367">
        <v>0</v>
      </c>
      <c r="E97" s="1367"/>
      <c r="F97" s="1368"/>
      <c r="G97" s="1367"/>
      <c r="H97" s="1367"/>
      <c r="I97" s="1367"/>
      <c r="J97" s="1367"/>
      <c r="K97" s="1367"/>
      <c r="L97" s="1367"/>
      <c r="M97" s="1368"/>
      <c r="N97" s="1367"/>
      <c r="O97" s="1367"/>
    </row>
    <row r="98" spans="1:15" ht="15.75" thickBot="1">
      <c r="A98" s="1332"/>
      <c r="B98" s="1789" t="s">
        <v>142</v>
      </c>
      <c r="C98" s="1334" t="s">
        <v>11</v>
      </c>
      <c r="D98" s="497">
        <f t="shared" ref="D98:L98" si="40">D93+D85+D84</f>
        <v>297429.3814022399</v>
      </c>
      <c r="E98" s="497">
        <f t="shared" si="40"/>
        <v>316187.78909786331</v>
      </c>
      <c r="F98" s="1790">
        <f>F93+F85+F84-22</f>
        <v>412363.89002020704</v>
      </c>
      <c r="G98" s="497">
        <f t="shared" si="40"/>
        <v>437795.18422615022</v>
      </c>
      <c r="H98" s="497">
        <f t="shared" ref="H98:I98" si="41">H93+H85+H84</f>
        <v>345881.30538458226</v>
      </c>
      <c r="I98" s="497">
        <f t="shared" si="41"/>
        <v>760540.26000273414</v>
      </c>
      <c r="J98" s="497">
        <f>J93+J85+J84</f>
        <v>974422.07222682144</v>
      </c>
      <c r="K98" s="497">
        <f t="shared" si="40"/>
        <v>948514.16894233995</v>
      </c>
      <c r="L98" s="497">
        <f t="shared" si="40"/>
        <v>996370.36959665827</v>
      </c>
      <c r="M98" s="1790">
        <f>M84+M85+M87</f>
        <v>458827.52636798652</v>
      </c>
      <c r="N98" s="497"/>
      <c r="O98" s="1665"/>
    </row>
    <row r="99" spans="1:15" ht="15.75" thickBot="1">
      <c r="A99" s="1380"/>
      <c r="B99" s="1381" t="s">
        <v>1090</v>
      </c>
      <c r="C99" s="185" t="s">
        <v>11</v>
      </c>
      <c r="D99" s="495"/>
      <c r="E99" s="495"/>
      <c r="F99" s="1382"/>
      <c r="G99" s="495"/>
      <c r="H99" s="495"/>
      <c r="I99" s="495"/>
      <c r="J99" s="495"/>
      <c r="K99" s="495"/>
      <c r="L99" s="495"/>
      <c r="M99" s="1382">
        <f>-'Расчёт ВО методом индексаци '!O22</f>
        <v>-41791.264000000003</v>
      </c>
      <c r="N99" s="495"/>
      <c r="O99" s="1383"/>
    </row>
    <row r="100" spans="1:15" ht="39" thickBot="1">
      <c r="A100" s="237" t="s">
        <v>147</v>
      </c>
      <c r="B100" s="1378" t="s">
        <v>1092</v>
      </c>
      <c r="C100" s="1384" t="s">
        <v>11</v>
      </c>
      <c r="D100" s="418"/>
      <c r="E100" s="418"/>
      <c r="F100" s="1368">
        <v>87770.2</v>
      </c>
      <c r="G100" s="418"/>
      <c r="H100" s="418"/>
      <c r="I100" s="418"/>
      <c r="J100" s="418"/>
      <c r="K100" s="418"/>
      <c r="L100" s="418"/>
      <c r="M100" s="1368"/>
      <c r="N100" s="418"/>
      <c r="O100" s="418"/>
    </row>
    <row r="101" spans="1:15" ht="26.25" thickBot="1">
      <c r="A101" s="237"/>
      <c r="B101" s="1378" t="s">
        <v>1093</v>
      </c>
      <c r="C101" s="1384" t="s">
        <v>11</v>
      </c>
      <c r="D101" s="418"/>
      <c r="E101" s="418"/>
      <c r="F101" s="1368">
        <v>626.14</v>
      </c>
      <c r="G101" s="418"/>
      <c r="H101" s="418"/>
      <c r="I101" s="418"/>
      <c r="J101" s="418"/>
      <c r="K101" s="418"/>
      <c r="L101" s="418"/>
      <c r="M101" s="1368"/>
      <c r="N101" s="418"/>
      <c r="O101" s="418"/>
    </row>
    <row r="102" spans="1:15" ht="26.25" thickBot="1">
      <c r="A102" s="237"/>
      <c r="B102" s="1378" t="s">
        <v>1094</v>
      </c>
      <c r="C102" s="1384" t="s">
        <v>11</v>
      </c>
      <c r="D102" s="418"/>
      <c r="E102" s="418"/>
      <c r="F102" s="1368">
        <v>5512.85</v>
      </c>
      <c r="G102" s="418"/>
      <c r="H102" s="418"/>
      <c r="I102" s="418"/>
      <c r="J102" s="418"/>
      <c r="K102" s="418"/>
      <c r="L102" s="418"/>
      <c r="M102" s="1368"/>
      <c r="N102" s="418"/>
      <c r="O102" s="418"/>
    </row>
    <row r="103" spans="1:15" ht="35.25" customHeight="1" thickBot="1">
      <c r="A103" s="237"/>
      <c r="B103" s="1378" t="s">
        <v>1095</v>
      </c>
      <c r="C103" s="1384" t="s">
        <v>11</v>
      </c>
      <c r="D103" s="418"/>
      <c r="E103" s="418"/>
      <c r="F103" s="1368">
        <v>5519.5</v>
      </c>
      <c r="G103" s="418"/>
      <c r="H103" s="418"/>
      <c r="I103" s="418"/>
      <c r="J103" s="418"/>
      <c r="K103" s="418"/>
      <c r="L103" s="418"/>
      <c r="M103" s="1368"/>
      <c r="N103" s="418"/>
      <c r="O103" s="418"/>
    </row>
    <row r="104" spans="1:15" ht="57" thickBot="1">
      <c r="A104" s="1386"/>
      <c r="B104" s="2450" t="s">
        <v>1098</v>
      </c>
      <c r="C104" s="1387" t="s">
        <v>11</v>
      </c>
      <c r="D104" s="414"/>
      <c r="E104" s="414"/>
      <c r="F104" s="1370">
        <v>2192.48</v>
      </c>
      <c r="G104" s="414"/>
      <c r="H104" s="414"/>
      <c r="I104" s="414"/>
      <c r="J104" s="414"/>
      <c r="K104" s="414"/>
      <c r="L104" s="414"/>
      <c r="M104" s="1370"/>
      <c r="N104" s="414"/>
      <c r="O104" s="414"/>
    </row>
    <row r="105" spans="1:15" ht="16.5" thickBot="1">
      <c r="A105" s="183"/>
      <c r="B105" s="1388" t="s">
        <v>1096</v>
      </c>
      <c r="C105" s="1384" t="s">
        <v>11</v>
      </c>
      <c r="D105" s="962"/>
      <c r="E105" s="962"/>
      <c r="F105" s="957">
        <f>F98-F100-F101-F102-F103-F104</f>
        <v>310742.72002020705</v>
      </c>
      <c r="G105" s="1389"/>
      <c r="H105" s="1390"/>
      <c r="I105" s="1390"/>
      <c r="J105" s="1390"/>
      <c r="K105" s="1390"/>
      <c r="L105" s="1390"/>
      <c r="M105" s="957">
        <f>M98+M99</f>
        <v>417036.26236798649</v>
      </c>
      <c r="N105" s="1390"/>
      <c r="O105" s="1391"/>
    </row>
    <row r="106" spans="1:15" ht="15.75" thickBot="1">
      <c r="A106" s="1332"/>
      <c r="B106" s="1333" t="s">
        <v>1359</v>
      </c>
      <c r="C106" s="1334" t="s">
        <v>388</v>
      </c>
      <c r="D106" s="497">
        <v>48843.7</v>
      </c>
      <c r="E106" s="497">
        <f>E107+E108</f>
        <v>43904.82</v>
      </c>
      <c r="F106" s="1790">
        <v>48985.701000000001</v>
      </c>
      <c r="G106" s="1942">
        <f>G107+G108</f>
        <v>42331.974000000002</v>
      </c>
      <c r="H106" s="1942">
        <f t="shared" ref="H106:L106" si="42">H107+H108</f>
        <v>21487.02</v>
      </c>
      <c r="I106" s="1942">
        <f t="shared" si="42"/>
        <v>42331.974000000002</v>
      </c>
      <c r="J106" s="1942">
        <f t="shared" si="42"/>
        <v>42898.47</v>
      </c>
      <c r="K106" s="1942">
        <f t="shared" si="42"/>
        <v>42598.718999999997</v>
      </c>
      <c r="L106" s="1942">
        <f t="shared" si="42"/>
        <v>43182.115000000005</v>
      </c>
      <c r="M106" s="1943"/>
      <c r="N106" s="1944"/>
      <c r="O106" s="1945"/>
    </row>
    <row r="107" spans="1:15" ht="15.75" thickBot="1">
      <c r="A107" s="186"/>
      <c r="B107" s="1950" t="s">
        <v>1360</v>
      </c>
      <c r="C107" s="185"/>
      <c r="D107" s="1951"/>
      <c r="E107" s="962">
        <v>32552.418000000001</v>
      </c>
      <c r="F107" s="963"/>
      <c r="G107" s="1952">
        <v>30920.879000000001</v>
      </c>
      <c r="H107" s="1942">
        <v>15781.47</v>
      </c>
      <c r="I107" s="1952">
        <v>30920.879000000001</v>
      </c>
      <c r="J107" s="1953">
        <v>31459.056</v>
      </c>
      <c r="K107" s="1953">
        <v>31170.923999999999</v>
      </c>
      <c r="L107" s="1953">
        <v>31744.043000000001</v>
      </c>
      <c r="M107" s="1954"/>
      <c r="N107" s="1955"/>
      <c r="O107" s="1956"/>
    </row>
    <row r="108" spans="1:15" ht="15.75" thickBot="1">
      <c r="A108" s="186"/>
      <c r="B108" s="1950" t="s">
        <v>1358</v>
      </c>
      <c r="C108" s="185"/>
      <c r="D108" s="1951"/>
      <c r="E108" s="1951">
        <v>11352.402</v>
      </c>
      <c r="F108" s="963"/>
      <c r="G108" s="1951">
        <v>11411.094999999999</v>
      </c>
      <c r="H108" s="1955">
        <f>11411.1/2</f>
        <v>5705.55</v>
      </c>
      <c r="I108" s="1951">
        <v>11411.094999999999</v>
      </c>
      <c r="J108" s="1951">
        <v>11439.414000000001</v>
      </c>
      <c r="K108" s="1951">
        <v>11427.795</v>
      </c>
      <c r="L108" s="1951">
        <v>11438.072</v>
      </c>
      <c r="M108" s="1958"/>
      <c r="N108" s="1951"/>
      <c r="O108" s="1959"/>
    </row>
    <row r="109" spans="1:15" ht="15.75" thickBot="1">
      <c r="A109" s="1957"/>
      <c r="B109" s="1946" t="s">
        <v>1057</v>
      </c>
      <c r="C109" s="1947" t="s">
        <v>143</v>
      </c>
      <c r="D109" s="1948">
        <f>D98/D106</f>
        <v>6.0894113550414879</v>
      </c>
      <c r="E109" s="1948">
        <f t="shared" ref="E109:L109" si="43">E98/E106</f>
        <v>7.2016646258397898</v>
      </c>
      <c r="F109" s="1369">
        <f>F105/F106</f>
        <v>6.3435393120169303</v>
      </c>
      <c r="G109" s="1948">
        <f>G98/G106</f>
        <v>10.341950607504158</v>
      </c>
      <c r="H109" s="1948">
        <f t="shared" ref="H109" si="44">H98/H106</f>
        <v>16.097220805145724</v>
      </c>
      <c r="I109" s="1948">
        <f t="shared" ref="I109" si="45">I98/I106</f>
        <v>17.96609484837003</v>
      </c>
      <c r="J109" s="1948">
        <f t="shared" si="43"/>
        <v>22.714611318930988</v>
      </c>
      <c r="K109" s="1948">
        <f t="shared" si="43"/>
        <v>22.266260376100512</v>
      </c>
      <c r="L109" s="1948">
        <f t="shared" si="43"/>
        <v>23.073681536827415</v>
      </c>
      <c r="M109" s="1369"/>
      <c r="N109" s="1948"/>
      <c r="O109" s="1949"/>
    </row>
    <row r="110" spans="1:15" ht="15.75" thickBot="1">
      <c r="A110" s="134"/>
      <c r="B110" s="137" t="s">
        <v>389</v>
      </c>
      <c r="C110" s="1234" t="s">
        <v>280</v>
      </c>
      <c r="D110" s="965"/>
      <c r="E110" s="965"/>
      <c r="F110" s="963"/>
      <c r="G110" s="965">
        <f>(G109/F109-1)*100</f>
        <v>63.031236961246663</v>
      </c>
      <c r="H110" s="965">
        <f>(H109/F109-1)*100</f>
        <v>153.75772125589</v>
      </c>
      <c r="I110" s="965">
        <f>(I109/H109-1)*100</f>
        <v>11.609917425167527</v>
      </c>
      <c r="J110" s="965">
        <f>(J109/I109-1)*100</f>
        <v>26.430431936586185</v>
      </c>
      <c r="K110" s="965">
        <f>(K109/J109-1)*100</f>
        <v>-1.973843780706952</v>
      </c>
      <c r="L110" s="1235">
        <f>(L109/K109-1)*100</f>
        <v>3.6262091033191668</v>
      </c>
      <c r="M110" s="964"/>
      <c r="N110" s="1236"/>
      <c r="O110" s="1233"/>
    </row>
    <row r="111" spans="1:15" ht="15.75" thickBot="1">
      <c r="A111" s="56"/>
      <c r="B111" s="213"/>
      <c r="C111" s="214"/>
      <c r="D111" s="215"/>
      <c r="E111" s="215"/>
      <c r="F111" s="1940" t="s">
        <v>1335</v>
      </c>
      <c r="G111" s="965">
        <f>(G109/F109-1)*100</f>
        <v>63.031236961246663</v>
      </c>
      <c r="H111" s="965">
        <f>(H109/F109-1)*100</f>
        <v>153.75772125589</v>
      </c>
      <c r="I111" s="965">
        <f>(I109/F109-1)*100</f>
        <v>183.21878315368559</v>
      </c>
      <c r="J111" s="965">
        <f>(J109/F109-1)*100</f>
        <v>258.0747308667481</v>
      </c>
      <c r="K111" s="965">
        <f>(K109/F109-1)*100</f>
        <v>251.00689506125167</v>
      </c>
      <c r="L111" s="965">
        <f>(L109/F109-1)*100</f>
        <v>263.73513904324068</v>
      </c>
      <c r="M111" s="215"/>
    </row>
    <row r="112" spans="1:15">
      <c r="A112" s="56"/>
      <c r="B112" s="213"/>
      <c r="C112" s="214"/>
      <c r="D112" s="215"/>
      <c r="E112" s="215"/>
      <c r="F112" s="215" t="s">
        <v>1361</v>
      </c>
      <c r="G112" s="1941">
        <f>G109*1.18</f>
        <v>12.203501716854905</v>
      </c>
      <c r="H112" s="1941">
        <f>H109*1.18</f>
        <v>18.994720550071953</v>
      </c>
      <c r="I112" s="1941">
        <f>I109*1.18</f>
        <v>21.199991921076634</v>
      </c>
      <c r="J112" s="1941">
        <f>J109*1.18</f>
        <v>26.803241356338564</v>
      </c>
      <c r="K112" s="1941">
        <f t="shared" ref="K112:L112" si="46">K109*1.18</f>
        <v>26.274187243798604</v>
      </c>
      <c r="L112" s="1941">
        <f t="shared" si="46"/>
        <v>27.226944213456349</v>
      </c>
      <c r="M112" s="215"/>
    </row>
    <row r="113" spans="3:17" ht="24.75">
      <c r="D113" s="1939"/>
      <c r="E113" s="790"/>
      <c r="F113" s="1939"/>
      <c r="G113" s="790"/>
      <c r="H113" s="2422"/>
      <c r="I113" s="2422"/>
      <c r="J113" s="2422"/>
      <c r="K113" s="2422"/>
      <c r="L113" s="1939"/>
      <c r="M113" s="1412" t="s">
        <v>370</v>
      </c>
      <c r="N113" s="1342" t="s">
        <v>1320</v>
      </c>
      <c r="O113" s="1342" t="s">
        <v>1321</v>
      </c>
      <c r="P113" s="1342" t="s">
        <v>1079</v>
      </c>
      <c r="Q113" s="1342" t="s">
        <v>1080</v>
      </c>
    </row>
    <row r="114" spans="3:17">
      <c r="D114" s="423"/>
      <c r="F114" s="423"/>
      <c r="G114" s="423"/>
      <c r="H114" s="1290"/>
      <c r="I114" s="1290"/>
      <c r="J114" s="1290"/>
      <c r="K114" s="1290"/>
      <c r="L114" s="423"/>
      <c r="M114" s="1343" t="s">
        <v>1078</v>
      </c>
      <c r="N114" s="1129">
        <f>M106/2</f>
        <v>0</v>
      </c>
      <c r="O114" s="1129">
        <f>M106-N114</f>
        <v>0</v>
      </c>
      <c r="P114" s="1344">
        <f>N114+O114</f>
        <v>0</v>
      </c>
      <c r="Q114" s="1"/>
    </row>
    <row r="115" spans="3:17" ht="18.75" customHeight="1">
      <c r="D115" s="423"/>
      <c r="H115" s="1290"/>
      <c r="I115" s="1290"/>
      <c r="J115" s="1290"/>
      <c r="K115" s="1290"/>
      <c r="M115" s="1343" t="s">
        <v>1081</v>
      </c>
      <c r="N115" s="92"/>
      <c r="O115" s="1358"/>
      <c r="P115" s="1359"/>
      <c r="Q115" s="1346"/>
    </row>
    <row r="116" spans="3:17">
      <c r="D116" s="423"/>
      <c r="E116" s="423"/>
      <c r="F116" s="423"/>
      <c r="G116" s="423"/>
      <c r="H116" s="423"/>
      <c r="I116" s="423"/>
      <c r="J116" s="423"/>
      <c r="K116" s="423"/>
      <c r="L116" s="423"/>
      <c r="M116" s="1343" t="s">
        <v>1082</v>
      </c>
      <c r="N116" s="1345">
        <f>N114*N115</f>
        <v>0</v>
      </c>
      <c r="O116" s="1129">
        <f>M105-N116</f>
        <v>417036.26236798649</v>
      </c>
      <c r="P116" s="1344">
        <f>N116+O116</f>
        <v>417036.26236798649</v>
      </c>
      <c r="Q116" s="1"/>
    </row>
    <row r="117" spans="3:17">
      <c r="G117" s="423"/>
      <c r="H117" s="423"/>
      <c r="I117" s="423"/>
      <c r="J117" s="423"/>
      <c r="K117" s="423"/>
      <c r="L117" s="423"/>
    </row>
    <row r="118" spans="3:17" hidden="1">
      <c r="C118" t="s">
        <v>1027</v>
      </c>
      <c r="D118" s="423"/>
    </row>
    <row r="121" spans="3:17">
      <c r="D121" s="423"/>
    </row>
  </sheetData>
  <mergeCells count="18">
    <mergeCell ref="A81:A82"/>
    <mergeCell ref="L6:L7"/>
    <mergeCell ref="M6:M7"/>
    <mergeCell ref="N6:N7"/>
    <mergeCell ref="O6:O7"/>
    <mergeCell ref="H6:H7"/>
    <mergeCell ref="I6:I7"/>
    <mergeCell ref="A3:J3"/>
    <mergeCell ref="A5:A7"/>
    <mergeCell ref="B5:B7"/>
    <mergeCell ref="C5:C7"/>
    <mergeCell ref="D5:L5"/>
    <mergeCell ref="C4:F4"/>
    <mergeCell ref="M5:O5"/>
    <mergeCell ref="D6:E6"/>
    <mergeCell ref="F6:G6"/>
    <mergeCell ref="J6:J7"/>
    <mergeCell ref="K6:K7"/>
  </mergeCells>
  <pageMargins left="0.25" right="0.25" top="0.75" bottom="0.75" header="0.3" footer="0.3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W123"/>
  <sheetViews>
    <sheetView topLeftCell="A87" zoomScale="80" zoomScaleNormal="80" zoomScaleSheetLayoutView="80" workbookViewId="0">
      <selection activeCell="I115" sqref="I115"/>
    </sheetView>
  </sheetViews>
  <sheetFormatPr defaultRowHeight="15"/>
  <cols>
    <col min="1" max="1" width="7.28515625" customWidth="1"/>
    <col min="2" max="2" width="30.28515625" customWidth="1"/>
    <col min="3" max="3" width="13.42578125" customWidth="1"/>
    <col min="4" max="4" width="15.140625" customWidth="1"/>
    <col min="5" max="5" width="14.7109375" customWidth="1"/>
    <col min="6" max="6" width="12.85546875" customWidth="1"/>
    <col min="7" max="7" width="11.7109375" hidden="1" customWidth="1"/>
    <col min="8" max="8" width="14.5703125" hidden="1" customWidth="1"/>
    <col min="9" max="9" width="14.140625" customWidth="1"/>
    <col min="10" max="10" width="12.85546875" customWidth="1"/>
    <col min="11" max="11" width="12" hidden="1" customWidth="1"/>
    <col min="12" max="12" width="14.140625" hidden="1" customWidth="1"/>
    <col min="13" max="13" width="13.7109375" hidden="1" customWidth="1"/>
    <col min="14" max="14" width="14.42578125" hidden="1" customWidth="1"/>
    <col min="15" max="15" width="16.85546875" hidden="1" customWidth="1"/>
    <col min="16" max="16" width="15.140625" customWidth="1"/>
    <col min="17" max="17" width="16.140625" customWidth="1"/>
    <col min="18" max="18" width="18.85546875" customWidth="1"/>
    <col min="19" max="19" width="14.5703125" customWidth="1"/>
    <col min="20" max="20" width="16.85546875" customWidth="1"/>
  </cols>
  <sheetData>
    <row r="1" spans="1:20">
      <c r="H1" s="2434">
        <f>H80*0.2</f>
        <v>2851.7241937956296</v>
      </c>
      <c r="I1" s="2434">
        <f t="shared" ref="I1:L1" si="0">I80*0.2</f>
        <v>5710.9527299712809</v>
      </c>
      <c r="J1" s="2434">
        <f t="shared" si="0"/>
        <v>6987.555484860769</v>
      </c>
      <c r="K1" s="2434">
        <f t="shared" si="0"/>
        <v>6389.3883538191703</v>
      </c>
      <c r="L1" s="2434">
        <f t="shared" si="0"/>
        <v>6128.1459876033232</v>
      </c>
    </row>
    <row r="2" spans="1:20">
      <c r="B2" s="358" t="s">
        <v>1268</v>
      </c>
      <c r="C2" s="380"/>
      <c r="D2" s="380"/>
      <c r="E2" s="380"/>
    </row>
    <row r="3" spans="1:20">
      <c r="A3" s="3430" t="s">
        <v>518</v>
      </c>
      <c r="B3" s="3430"/>
      <c r="C3" s="3430"/>
      <c r="D3" s="3430"/>
      <c r="E3" s="3430"/>
      <c r="F3" s="3430"/>
      <c r="G3" s="3430"/>
      <c r="H3" s="3430"/>
      <c r="I3" s="3430"/>
      <c r="J3" s="3430"/>
      <c r="K3" s="3300"/>
      <c r="L3" s="3300"/>
    </row>
    <row r="4" spans="1:20" ht="15.75" thickBot="1">
      <c r="A4" s="3300"/>
      <c r="B4" s="155" t="s">
        <v>375</v>
      </c>
      <c r="C4" s="3562" t="s">
        <v>1102</v>
      </c>
      <c r="D4" s="3562"/>
      <c r="E4" s="3562"/>
      <c r="F4" s="3562"/>
      <c r="G4" s="3300"/>
      <c r="H4" s="3300"/>
      <c r="I4" s="3300"/>
      <c r="J4" s="3300"/>
      <c r="K4" s="3300"/>
      <c r="L4" s="3300"/>
    </row>
    <row r="5" spans="1:20" ht="15.75" thickBot="1">
      <c r="A5" s="3389" t="s">
        <v>0</v>
      </c>
      <c r="B5" s="3389" t="s">
        <v>1</v>
      </c>
      <c r="C5" s="3389" t="s">
        <v>2</v>
      </c>
      <c r="D5" s="3432" t="s">
        <v>165</v>
      </c>
      <c r="E5" s="3433"/>
      <c r="F5" s="3433"/>
      <c r="G5" s="3433"/>
      <c r="H5" s="3433"/>
      <c r="I5" s="3433"/>
      <c r="J5" s="3433"/>
      <c r="K5" s="3433"/>
      <c r="L5" s="3434"/>
      <c r="M5" s="3432" t="s">
        <v>166</v>
      </c>
      <c r="N5" s="3433"/>
      <c r="O5" s="3434"/>
      <c r="P5" s="3196"/>
      <c r="Q5" s="3197" t="s">
        <v>1802</v>
      </c>
      <c r="R5" s="2665"/>
      <c r="S5" s="3364" t="s">
        <v>1803</v>
      </c>
      <c r="T5" s="3371"/>
    </row>
    <row r="6" spans="1:20" ht="15.75" customHeight="1" thickBot="1">
      <c r="A6" s="3401"/>
      <c r="B6" s="3401"/>
      <c r="C6" s="3401"/>
      <c r="D6" s="3458">
        <v>2014</v>
      </c>
      <c r="E6" s="3458"/>
      <c r="F6" s="3418">
        <v>2015</v>
      </c>
      <c r="G6" s="3560"/>
      <c r="H6" s="3420" t="s">
        <v>1375</v>
      </c>
      <c r="I6" s="3420" t="s">
        <v>1379</v>
      </c>
      <c r="J6" s="3389" t="s">
        <v>392</v>
      </c>
      <c r="K6" s="3561" t="s">
        <v>393</v>
      </c>
      <c r="L6" s="3389" t="s">
        <v>1297</v>
      </c>
      <c r="M6" s="3563" t="s">
        <v>392</v>
      </c>
      <c r="N6" s="3565" t="s">
        <v>393</v>
      </c>
      <c r="O6" s="3389" t="s">
        <v>1297</v>
      </c>
      <c r="P6" s="3426" t="s">
        <v>1805</v>
      </c>
      <c r="Q6" s="3428" t="s">
        <v>1806</v>
      </c>
      <c r="R6" s="3412" t="s">
        <v>1807</v>
      </c>
      <c r="S6" s="3389" t="s">
        <v>1808</v>
      </c>
      <c r="T6" s="3389" t="s">
        <v>1809</v>
      </c>
    </row>
    <row r="7" spans="1:20" ht="57.75" customHeight="1" thickBot="1">
      <c r="A7" s="3390"/>
      <c r="B7" s="3390"/>
      <c r="C7" s="3390"/>
      <c r="D7" s="555" t="s">
        <v>966</v>
      </c>
      <c r="E7" s="4" t="s">
        <v>6</v>
      </c>
      <c r="F7" s="555" t="s">
        <v>966</v>
      </c>
      <c r="G7" s="3299" t="s">
        <v>8</v>
      </c>
      <c r="H7" s="3421"/>
      <c r="I7" s="3421"/>
      <c r="J7" s="3390"/>
      <c r="K7" s="3557"/>
      <c r="L7" s="3390"/>
      <c r="M7" s="3564"/>
      <c r="N7" s="3388"/>
      <c r="O7" s="3390"/>
      <c r="P7" s="3427"/>
      <c r="Q7" s="3429"/>
      <c r="R7" s="3413"/>
      <c r="S7" s="3390"/>
      <c r="T7" s="3390"/>
    </row>
    <row r="8" spans="1:20" ht="15.75" thickBot="1">
      <c r="A8" s="32">
        <v>1</v>
      </c>
      <c r="B8" s="3301">
        <v>2</v>
      </c>
      <c r="C8" s="3301">
        <v>3</v>
      </c>
      <c r="D8" s="3301">
        <v>4</v>
      </c>
      <c r="E8" s="3301">
        <v>5</v>
      </c>
      <c r="F8" s="388">
        <v>6</v>
      </c>
      <c r="G8" s="51">
        <v>7</v>
      </c>
      <c r="H8" s="2007">
        <v>8</v>
      </c>
      <c r="I8" s="51">
        <v>7</v>
      </c>
      <c r="J8" s="3301">
        <v>8</v>
      </c>
      <c r="K8" s="3301">
        <v>9</v>
      </c>
      <c r="L8" s="3301">
        <v>10</v>
      </c>
      <c r="M8" s="3301">
        <v>11</v>
      </c>
      <c r="N8" s="3301">
        <v>12</v>
      </c>
      <c r="O8" s="3301">
        <v>13</v>
      </c>
      <c r="P8" s="3301">
        <v>9</v>
      </c>
      <c r="Q8" s="3301">
        <v>10</v>
      </c>
      <c r="R8" s="3301">
        <v>11</v>
      </c>
      <c r="S8" s="3301">
        <v>12</v>
      </c>
      <c r="T8" s="1146">
        <v>13</v>
      </c>
    </row>
    <row r="9" spans="1:20" ht="15.75" hidden="1" customHeight="1" thickBot="1">
      <c r="A9" s="221"/>
      <c r="B9" s="5"/>
      <c r="C9" s="5"/>
      <c r="D9" s="5"/>
      <c r="E9" s="5"/>
      <c r="F9" s="387"/>
      <c r="G9" s="222"/>
      <c r="H9" s="560"/>
      <c r="I9" s="560"/>
      <c r="J9" s="381"/>
      <c r="K9" s="391"/>
      <c r="L9" s="222"/>
      <c r="M9" s="390"/>
      <c r="N9" s="217"/>
      <c r="O9" s="136"/>
      <c r="P9" s="56"/>
      <c r="Q9" s="56"/>
      <c r="R9" s="56"/>
      <c r="S9" s="56"/>
      <c r="T9" s="1122"/>
    </row>
    <row r="10" spans="1:20" ht="15.75" thickBot="1">
      <c r="A10" s="6">
        <v>1</v>
      </c>
      <c r="B10" s="7" t="s">
        <v>9</v>
      </c>
      <c r="C10" s="7"/>
      <c r="D10" s="837">
        <f>D11+D15+D21+D23+D26+D27+D28+0.8</f>
        <v>163318.763041964</v>
      </c>
      <c r="E10" s="837">
        <f t="shared" ref="E10:I10" si="1">E11+E15+E21+E23+E26+E27+E28</f>
        <v>205244.78929391</v>
      </c>
      <c r="F10" s="838">
        <f>F11+F15+F21+F23+F26+F27+F28-0.01</f>
        <v>296662.075907727</v>
      </c>
      <c r="G10" s="839">
        <f t="shared" si="1"/>
        <v>283635.82501629891</v>
      </c>
      <c r="H10" s="839">
        <f t="shared" si="1"/>
        <v>117117.64063980414</v>
      </c>
      <c r="I10" s="839">
        <f t="shared" si="1"/>
        <v>290261.5857210611</v>
      </c>
      <c r="J10" s="839">
        <f>J11+J15+J21++J22+J23+J26+J27+J28</f>
        <v>430576.31241347181</v>
      </c>
      <c r="K10" s="839">
        <f t="shared" ref="K10:O10" si="2">K11+K15+K21++K22+K23+K26+K27+K28</f>
        <v>394356.12624279736</v>
      </c>
      <c r="L10" s="839">
        <f t="shared" si="2"/>
        <v>407181.96718031849</v>
      </c>
      <c r="M10" s="839">
        <f t="shared" si="2"/>
        <v>176220.04563288091</v>
      </c>
      <c r="N10" s="839" t="e">
        <f t="shared" si="2"/>
        <v>#VALUE!</v>
      </c>
      <c r="O10" s="839">
        <f t="shared" si="2"/>
        <v>30495.39794310588</v>
      </c>
      <c r="P10" s="839">
        <f>P11+P15+P21++P22+P23+P26+P27+P28</f>
        <v>337269.47932861547</v>
      </c>
      <c r="Q10" s="839">
        <f t="shared" ref="Q10" si="3">Q11+Q15+Q21++Q22+Q23+Q26+Q27+Q28</f>
        <v>93306.833084856422</v>
      </c>
      <c r="R10" s="839"/>
      <c r="S10" s="839">
        <f>P10/E10-1</f>
        <v>0.64325477147995436</v>
      </c>
      <c r="T10" s="3302">
        <f>P10/I10-1</f>
        <v>0.16195010266611232</v>
      </c>
    </row>
    <row r="11" spans="1:20" ht="39" thickBot="1">
      <c r="A11" s="1211" t="s">
        <v>10</v>
      </c>
      <c r="B11" s="147" t="s">
        <v>144</v>
      </c>
      <c r="C11" s="148" t="s">
        <v>11</v>
      </c>
      <c r="D11" s="843">
        <f>D12+D13+D14-0.1</f>
        <v>7870.4990490000009</v>
      </c>
      <c r="E11" s="843">
        <f t="shared" ref="E11:R11" si="4">E12+E13+E14</f>
        <v>8944.2979337440884</v>
      </c>
      <c r="F11" s="844">
        <f t="shared" si="4"/>
        <v>9513.007988169531</v>
      </c>
      <c r="G11" s="845">
        <f t="shared" si="4"/>
        <v>9305.4413749725591</v>
      </c>
      <c r="H11" s="845">
        <f t="shared" si="4"/>
        <v>9265.254544881087</v>
      </c>
      <c r="I11" s="845">
        <f t="shared" si="4"/>
        <v>18492.309198843795</v>
      </c>
      <c r="J11" s="845">
        <f t="shared" si="4"/>
        <v>17499.431830990339</v>
      </c>
      <c r="K11" s="845">
        <f t="shared" si="4"/>
        <v>18251.907399722921</v>
      </c>
      <c r="L11" s="845">
        <f t="shared" si="4"/>
        <v>19040.138909921297</v>
      </c>
      <c r="M11" s="845">
        <f t="shared" si="4"/>
        <v>0</v>
      </c>
      <c r="N11" s="845">
        <f t="shared" si="4"/>
        <v>0</v>
      </c>
      <c r="O11" s="845">
        <f t="shared" si="4"/>
        <v>0</v>
      </c>
      <c r="P11" s="845">
        <f t="shared" si="4"/>
        <v>14828.48</v>
      </c>
      <c r="Q11" s="845">
        <f t="shared" si="4"/>
        <v>2670.9518309903387</v>
      </c>
      <c r="R11" s="3303">
        <f t="shared" si="4"/>
        <v>0</v>
      </c>
      <c r="S11" s="845">
        <f>P11/E11-1</f>
        <v>0.65786964050657337</v>
      </c>
      <c r="T11" s="3304">
        <f>P11/I11-1</f>
        <v>-0.19812718679140795</v>
      </c>
    </row>
    <row r="12" spans="1:20" ht="15.75" thickTop="1">
      <c r="A12" s="1148" t="s">
        <v>12</v>
      </c>
      <c r="B12" s="10" t="s">
        <v>13</v>
      </c>
      <c r="C12" s="11" t="s">
        <v>11</v>
      </c>
      <c r="D12" s="849">
        <f>'[11]расшифровки ВО_2016'!D32</f>
        <v>300.38600000000002</v>
      </c>
      <c r="E12" s="849">
        <f>'[11]расшифровки ВО_2016'!E32</f>
        <v>201.41520000000003</v>
      </c>
      <c r="F12" s="849">
        <f>'[11]расшифровки ВО_2016'!F32</f>
        <v>269.23088639999997</v>
      </c>
      <c r="G12" s="849">
        <f>'[11]расшифровки ВО_2016'!G32</f>
        <v>187.6224</v>
      </c>
      <c r="H12" s="849">
        <f>'[11]расшифровки ВО_2016'!H32</f>
        <v>107.08320000000001</v>
      </c>
      <c r="I12" s="849">
        <f>'[11]расшифровки ВО_2016'!I32</f>
        <v>232.61280000000002</v>
      </c>
      <c r="J12" s="849">
        <f>'[11]расшифровки ВО_2016'!J32</f>
        <v>258.49454400000002</v>
      </c>
      <c r="K12" s="849">
        <f>'[11]расшифровки ВО_2016'!K32</f>
        <v>269.60980939200005</v>
      </c>
      <c r="L12" s="849">
        <f>'[11]расшифровки ВО_2016'!L32</f>
        <v>282.90277720099999</v>
      </c>
      <c r="M12" s="853">
        <f>'[11]расшифровки ВО_2016'!R32</f>
        <v>0</v>
      </c>
      <c r="N12" s="854">
        <f>'[11]расшифровки ВО_2016'!P32</f>
        <v>0</v>
      </c>
      <c r="O12" s="3305">
        <f>'[11]расшифровки ВО_2016'!Q32</f>
        <v>0</v>
      </c>
      <c r="P12" s="849">
        <v>253.79</v>
      </c>
      <c r="Q12" s="3303">
        <f t="shared" ref="Q12:Q14" si="5">J12-P12</f>
        <v>4.7045440000000269</v>
      </c>
      <c r="R12" s="1"/>
      <c r="S12" s="849">
        <f t="shared" ref="S12:S75" si="6">P12/E12-1</f>
        <v>0.26003399942010308</v>
      </c>
      <c r="T12" s="3306">
        <f t="shared" ref="T12:T75" si="7">P12/I12-1</f>
        <v>9.1040561826348121E-2</v>
      </c>
    </row>
    <row r="13" spans="1:20">
      <c r="A13" s="1148" t="s">
        <v>14</v>
      </c>
      <c r="B13" s="12" t="s">
        <v>15</v>
      </c>
      <c r="C13" s="11" t="s">
        <v>11</v>
      </c>
      <c r="D13" s="447">
        <f>'[11]расшифровки ВО_2016'!D46</f>
        <v>5052.7230490000011</v>
      </c>
      <c r="E13" s="447">
        <f>'[11]расшифровки ВО_2016'!E46</f>
        <v>5196.7401605920886</v>
      </c>
      <c r="F13" s="447">
        <f>'[11]расшифровки ВО_2016'!F46</f>
        <v>5203.360887402132</v>
      </c>
      <c r="G13" s="447">
        <f>'[11]расшифровки ВО_2016'!G46</f>
        <v>5465.2921246259993</v>
      </c>
      <c r="H13" s="447">
        <f>'[11]расшифровки ВО_2016'!H46</f>
        <v>3145.1639770405436</v>
      </c>
      <c r="I13" s="447">
        <f>'[11]расшифровки ВО_2016'!I46</f>
        <v>6353.2312336218984</v>
      </c>
      <c r="J13" s="447">
        <f>'[11]расшифровки ВО_2016'!J46</f>
        <v>5711.2302702341694</v>
      </c>
      <c r="K13" s="447">
        <f>'[11]расшифровки ВО_2016'!K46</f>
        <v>5956.8131718542381</v>
      </c>
      <c r="L13" s="447">
        <f>'[11]расшифровки ВО_2016'!L46</f>
        <v>6212.9561382439706</v>
      </c>
      <c r="M13" s="856">
        <f>'[11]расшифровки ВО_2016'!R46</f>
        <v>0</v>
      </c>
      <c r="N13" s="857">
        <f>'[11]расшифровки ВО_2016'!P46</f>
        <v>0</v>
      </c>
      <c r="O13" s="3307">
        <f>'[11]расшифровки ВО_2016'!Q46</f>
        <v>0</v>
      </c>
      <c r="P13" s="447">
        <v>5704.46</v>
      </c>
      <c r="Q13" s="3303">
        <f t="shared" si="5"/>
        <v>6.7702702341694021</v>
      </c>
      <c r="R13" s="1"/>
      <c r="S13" s="447">
        <f t="shared" si="6"/>
        <v>9.7699677820733077E-2</v>
      </c>
      <c r="T13" s="1075">
        <f t="shared" si="7"/>
        <v>-0.10211673552641054</v>
      </c>
    </row>
    <row r="14" spans="1:20" ht="26.25" thickBot="1">
      <c r="A14" s="1212" t="s">
        <v>16</v>
      </c>
      <c r="B14" s="150" t="s">
        <v>17</v>
      </c>
      <c r="C14" s="151" t="s">
        <v>11</v>
      </c>
      <c r="D14" s="858">
        <f>'[11]расшифровки ВО_2016'!D57</f>
        <v>2517.4899999999998</v>
      </c>
      <c r="E14" s="858">
        <f>'[11]расшифровки ВО_2016'!E57</f>
        <v>3546.1425731519994</v>
      </c>
      <c r="F14" s="858">
        <f>'[11]расшифровки ВО_2016'!F62</f>
        <v>4040.4162143674002</v>
      </c>
      <c r="G14" s="858">
        <f>'[11]расшифровки ВО_2016'!G57</f>
        <v>3652.5268503465595</v>
      </c>
      <c r="H14" s="858">
        <f>'[11]расшифровки ВО_2016'!H63</f>
        <v>6013.0073678405433</v>
      </c>
      <c r="I14" s="858">
        <f>'[11]расшифровки ВО_2016'!I63</f>
        <v>11906.465165221896</v>
      </c>
      <c r="J14" s="858">
        <f>'[11]расшифровки ВО_2016'!J63</f>
        <v>11529.707016756169</v>
      </c>
      <c r="K14" s="858">
        <f>'[11]расшифровки ВО_2016'!K63</f>
        <v>12025.484418476683</v>
      </c>
      <c r="L14" s="858">
        <f>'[11]расшифровки ВО_2016'!L63</f>
        <v>12544.279994476325</v>
      </c>
      <c r="M14" s="861">
        <f>'[11]расшифровки ВО_2016'!R62</f>
        <v>0</v>
      </c>
      <c r="N14" s="862">
        <f>'[11]расшифровки ВО_2016'!P56</f>
        <v>0</v>
      </c>
      <c r="O14" s="3308">
        <f>'[11]расшифровки ВО_2016'!Q56</f>
        <v>0</v>
      </c>
      <c r="P14" s="858">
        <v>8870.23</v>
      </c>
      <c r="Q14" s="3303">
        <f t="shared" si="5"/>
        <v>2659.4770167561692</v>
      </c>
      <c r="R14" s="1"/>
      <c r="S14" s="858">
        <f t="shared" si="6"/>
        <v>1.5013743291532888</v>
      </c>
      <c r="T14" s="3309">
        <f t="shared" si="7"/>
        <v>-0.25500726899958237</v>
      </c>
    </row>
    <row r="15" spans="1:20" ht="27" thickTop="1" thickBot="1">
      <c r="A15" s="1211" t="s">
        <v>18</v>
      </c>
      <c r="B15" s="147" t="s">
        <v>19</v>
      </c>
      <c r="C15" s="148" t="s">
        <v>11</v>
      </c>
      <c r="D15" s="843">
        <f>D16+D17+D18+D19+D20</f>
        <v>23071.226448900004</v>
      </c>
      <c r="E15" s="843">
        <f t="shared" ref="E15:R15" si="8">E16+E17+E18+E19+E20</f>
        <v>21941.542606999999</v>
      </c>
      <c r="F15" s="844">
        <f t="shared" si="8"/>
        <v>25252.088480693881</v>
      </c>
      <c r="G15" s="845">
        <f t="shared" si="8"/>
        <v>23311.207549999999</v>
      </c>
      <c r="H15" s="845">
        <f t="shared" si="8"/>
        <v>13628.401040319999</v>
      </c>
      <c r="I15" s="845">
        <f t="shared" si="8"/>
        <v>28884.352080639997</v>
      </c>
      <c r="J15" s="845">
        <f t="shared" si="8"/>
        <v>30911.45340260824</v>
      </c>
      <c r="K15" s="845">
        <f t="shared" si="8"/>
        <v>32520.429449076968</v>
      </c>
      <c r="L15" s="845">
        <f t="shared" si="8"/>
        <v>34223.336851387277</v>
      </c>
      <c r="M15" s="845">
        <f t="shared" si="8"/>
        <v>26938.22949998586</v>
      </c>
      <c r="N15" s="845">
        <f t="shared" si="8"/>
        <v>28651.878651981566</v>
      </c>
      <c r="O15" s="845">
        <f t="shared" si="8"/>
        <v>30495.39794310588</v>
      </c>
      <c r="P15" s="845">
        <f t="shared" si="8"/>
        <v>26938.230000000003</v>
      </c>
      <c r="Q15" s="845">
        <f t="shared" si="8"/>
        <v>3973.2234026082369</v>
      </c>
      <c r="R15" s="845">
        <f t="shared" si="8"/>
        <v>0</v>
      </c>
      <c r="S15" s="845">
        <f t="shared" si="6"/>
        <v>0.22772726068065574</v>
      </c>
      <c r="T15" s="3304">
        <f t="shared" si="7"/>
        <v>-6.737634533766812E-2</v>
      </c>
    </row>
    <row r="16" spans="1:20" ht="15.75" thickTop="1">
      <c r="A16" s="1148" t="s">
        <v>20</v>
      </c>
      <c r="B16" s="10" t="s">
        <v>21</v>
      </c>
      <c r="C16" s="11" t="s">
        <v>11</v>
      </c>
      <c r="D16" s="849">
        <f>'[11]расшифровки ВО_2016'!D173-0.05</f>
        <v>19458.498000000003</v>
      </c>
      <c r="E16" s="849">
        <f>'[11]расшифровки ВО_2016'!E173</f>
        <v>20358.698700000001</v>
      </c>
      <c r="F16" s="849">
        <f>'[11]расшифровки ВО_2016'!F168</f>
        <v>22882.459800547746</v>
      </c>
      <c r="G16" s="849">
        <f>'[11]расшифровки ВО_2016'!G173</f>
        <v>21048.319950000001</v>
      </c>
      <c r="H16" s="849">
        <f>'[11]расшифровки ВО_2016'!H119</f>
        <v>12039.8</v>
      </c>
      <c r="I16" s="849">
        <f>'[11]расшифровки ВО_2016'!I119</f>
        <v>26094.1</v>
      </c>
      <c r="J16" s="849">
        <f>'[11]расшифровки ВО_2016'!J119</f>
        <v>27974.404999999999</v>
      </c>
      <c r="K16" s="849">
        <f>'[11]расшифровки ВО_2016'!K119</f>
        <v>29457.047999999999</v>
      </c>
      <c r="L16" s="849">
        <f>'[11]расшифровки ВО_2016'!L119</f>
        <v>31028.27</v>
      </c>
      <c r="M16" s="849">
        <f>'[11]расшифровки ВО_2016'!M119</f>
        <v>24559.579336105988</v>
      </c>
      <c r="N16" s="849">
        <f>'[11]расшифровки ВО_2016'!N119</f>
        <v>26180.511572288982</v>
      </c>
      <c r="O16" s="849">
        <f>'[11]расшифровки ВО_2016'!O119</f>
        <v>27934.605847632338</v>
      </c>
      <c r="P16" s="849">
        <v>24559.58</v>
      </c>
      <c r="Q16" s="849">
        <f>J16-P16</f>
        <v>3414.8249999999971</v>
      </c>
      <c r="R16" s="849">
        <f>'[11]расшифровки ВО_2016'!R119</f>
        <v>0</v>
      </c>
      <c r="S16" s="849">
        <f t="shared" si="6"/>
        <v>0.20634331112724813</v>
      </c>
      <c r="T16" s="3306">
        <f t="shared" si="7"/>
        <v>-5.8807163305114818E-2</v>
      </c>
    </row>
    <row r="17" spans="1:20">
      <c r="A17" s="1148" t="s">
        <v>24</v>
      </c>
      <c r="B17" s="12" t="s">
        <v>22</v>
      </c>
      <c r="C17" s="11" t="s">
        <v>11</v>
      </c>
      <c r="D17" s="447">
        <f>'[11]расшифровки ВО_2016'!D196</f>
        <v>2885.0891940000001</v>
      </c>
      <c r="E17" s="447">
        <f>'[11]расшифровки ВО_2016'!E196</f>
        <v>1409.3519550000001</v>
      </c>
      <c r="F17" s="447">
        <f>'[11]расшифровки ВО_2016'!F196</f>
        <v>1815.6193880000003</v>
      </c>
      <c r="G17" s="447">
        <f>'[11]расшифровки ВО_2016'!G196</f>
        <v>1587.7639999999999</v>
      </c>
      <c r="H17" s="447">
        <f>'[11]расшифровки ВО_2016'!H196</f>
        <v>1046.3900000000001</v>
      </c>
      <c r="I17" s="447">
        <f>'[11]расшифровки ВО_2016'!I196</f>
        <v>1705.8299999999997</v>
      </c>
      <c r="J17" s="447">
        <f>'[11]расшифровки ВО_2016'!J196</f>
        <v>1779.77</v>
      </c>
      <c r="K17" s="447">
        <f>'[11]расшифровки ВО_2016'!K196</f>
        <v>1856.3400751565762</v>
      </c>
      <c r="L17" s="447">
        <f>'[11]расшифровки ВО_2016'!L196</f>
        <v>1936.1226983883089</v>
      </c>
      <c r="M17" s="447">
        <f>'[11]расшифровки ВО_2016'!M196</f>
        <v>1853.4306249999997</v>
      </c>
      <c r="N17" s="447">
        <f>'[11]расшифровки ВО_2016'!N196</f>
        <v>1909.03354375</v>
      </c>
      <c r="O17" s="447">
        <f>'[11]расшифровки ВО_2016'!O196</f>
        <v>1966.3045500624999</v>
      </c>
      <c r="P17" s="447">
        <v>1853.43</v>
      </c>
      <c r="Q17" s="849">
        <f t="shared" ref="Q17:Q80" si="9">J17-P17</f>
        <v>-73.660000000000082</v>
      </c>
      <c r="R17" s="447">
        <f>'[11]расшифровки ВО_2016'!R196</f>
        <v>0</v>
      </c>
      <c r="S17" s="447">
        <f t="shared" si="6"/>
        <v>0.31509378720094094</v>
      </c>
      <c r="T17" s="1075">
        <f t="shared" si="7"/>
        <v>8.6526793408487679E-2</v>
      </c>
    </row>
    <row r="18" spans="1:20">
      <c r="A18" s="1148" t="s">
        <v>23</v>
      </c>
      <c r="B18" s="12" t="s">
        <v>25</v>
      </c>
      <c r="C18" s="11" t="s">
        <v>11</v>
      </c>
      <c r="D18" s="447"/>
      <c r="E18" s="447"/>
      <c r="F18" s="447"/>
      <c r="G18" s="447"/>
      <c r="H18" s="447"/>
      <c r="I18" s="447"/>
      <c r="J18" s="447"/>
      <c r="K18" s="447"/>
      <c r="L18" s="447"/>
      <c r="M18" s="447"/>
      <c r="N18" s="447"/>
      <c r="O18" s="447"/>
      <c r="P18" s="447"/>
      <c r="Q18" s="849">
        <f t="shared" si="9"/>
        <v>0</v>
      </c>
      <c r="R18" s="447"/>
      <c r="S18" s="447"/>
      <c r="T18" s="1075"/>
    </row>
    <row r="19" spans="1:20">
      <c r="A19" s="1148" t="s">
        <v>26</v>
      </c>
      <c r="B19" s="12" t="s">
        <v>28</v>
      </c>
      <c r="C19" s="11" t="s">
        <v>11</v>
      </c>
      <c r="D19" s="447">
        <f>'[11]расшифровки ВО_2016'!D238</f>
        <v>727.63925489999997</v>
      </c>
      <c r="E19" s="447">
        <f>'[11]расшифровки ВО_2016'!E238</f>
        <v>173.491952</v>
      </c>
      <c r="F19" s="447">
        <f>'[11]расшифровки ВО_2016'!F238</f>
        <v>554.00929214613507</v>
      </c>
      <c r="G19" s="447">
        <f>'[11]расшифровки ВО_2016'!G238</f>
        <v>675.1235999999999</v>
      </c>
      <c r="H19" s="447">
        <f>'[11]расшифровки ВО_2016'!H238</f>
        <v>542.21104032000005</v>
      </c>
      <c r="I19" s="447">
        <f>'[11]расшифровки ВО_2016'!I238</f>
        <v>1084.4220806400001</v>
      </c>
      <c r="J19" s="447">
        <f>'[11]расшифровки ВО_2016'!J238</f>
        <v>1157.2784026082397</v>
      </c>
      <c r="K19" s="447">
        <f>'[11]расшифровки ВО_2016'!K238</f>
        <v>1207.0413739203941</v>
      </c>
      <c r="L19" s="447">
        <f>'[11]расшифровки ВО_2016'!L238</f>
        <v>1258.9441529989713</v>
      </c>
      <c r="M19" s="447">
        <f>'[11]расшифровки ВО_2016'!M238</f>
        <v>525.21953887987195</v>
      </c>
      <c r="N19" s="447">
        <f>'[11]расшифровки ВО_2016'!N238</f>
        <v>562.33353594258324</v>
      </c>
      <c r="O19" s="447">
        <f>'[11]расшифровки ВО_2016'!O238</f>
        <v>594.48754541103983</v>
      </c>
      <c r="P19" s="447">
        <v>525.22</v>
      </c>
      <c r="Q19" s="849">
        <f t="shared" si="9"/>
        <v>632.0584026082397</v>
      </c>
      <c r="R19" s="447">
        <f>'[11]расшифровки ВО_2016'!R238</f>
        <v>0</v>
      </c>
      <c r="S19" s="447">
        <f t="shared" si="6"/>
        <v>2.0273450378839475</v>
      </c>
      <c r="T19" s="1075">
        <f t="shared" si="7"/>
        <v>-0.51566829062533692</v>
      </c>
    </row>
    <row r="20" spans="1:20" ht="15.75" thickBot="1">
      <c r="A20" s="1212" t="s">
        <v>27</v>
      </c>
      <c r="B20" s="150" t="s">
        <v>29</v>
      </c>
      <c r="C20" s="151" t="s">
        <v>11</v>
      </c>
      <c r="D20" s="858"/>
      <c r="E20" s="858"/>
      <c r="F20" s="858"/>
      <c r="G20" s="858"/>
      <c r="H20" s="858"/>
      <c r="I20" s="858"/>
      <c r="J20" s="858"/>
      <c r="K20" s="858"/>
      <c r="L20" s="858"/>
      <c r="M20" s="858"/>
      <c r="N20" s="858"/>
      <c r="O20" s="858"/>
      <c r="P20" s="858"/>
      <c r="Q20" s="849">
        <f t="shared" si="9"/>
        <v>0</v>
      </c>
      <c r="R20" s="858"/>
      <c r="S20" s="858"/>
      <c r="T20" s="3309"/>
    </row>
    <row r="21" spans="1:20" ht="91.5" customHeight="1" thickTop="1" thickBot="1">
      <c r="A21" s="1211" t="s">
        <v>30</v>
      </c>
      <c r="B21" s="2839" t="s">
        <v>31</v>
      </c>
      <c r="C21" s="148" t="s">
        <v>32</v>
      </c>
      <c r="D21" s="843">
        <v>2400</v>
      </c>
      <c r="E21" s="843"/>
      <c r="F21" s="843">
        <f>'[11]расшифровки ВО_2016'!F296</f>
        <v>58804.290899999993</v>
      </c>
      <c r="G21" s="843">
        <f>'[11]расшифровки ВО_2016'!G296</f>
        <v>52160.806530000002</v>
      </c>
      <c r="H21" s="843">
        <v>0</v>
      </c>
      <c r="I21" s="843">
        <f>'[11]расшифровки ВО_2016'!I294</f>
        <v>50000</v>
      </c>
      <c r="J21" s="843">
        <f>'[11]расшифровки ВО_2016'!J296</f>
        <v>151794.69949534995</v>
      </c>
      <c r="K21" s="843">
        <f>'[11]расшифровки ВО_2016'!K294</f>
        <v>0</v>
      </c>
      <c r="L21" s="843">
        <f>'[11]расшифровки ВО_2016'!L294</f>
        <v>0</v>
      </c>
      <c r="M21" s="865">
        <f>'[11]расшифровки ВО_2016'!R296</f>
        <v>0</v>
      </c>
      <c r="N21" s="866">
        <f>'[11]расшифровки ВО_2016'!P296</f>
        <v>0</v>
      </c>
      <c r="O21" s="867">
        <f>'[11]расшифровки ВО_2016'!Q296</f>
        <v>0</v>
      </c>
      <c r="P21" s="843">
        <v>116999.9</v>
      </c>
      <c r="Q21" s="849">
        <f t="shared" si="9"/>
        <v>34794.799495349958</v>
      </c>
      <c r="R21" s="3310" t="s">
        <v>1832</v>
      </c>
      <c r="S21" s="843"/>
      <c r="T21" s="3304">
        <f t="shared" si="7"/>
        <v>1.339998</v>
      </c>
    </row>
    <row r="22" spans="1:20" ht="58.5" customHeight="1" thickTop="1" thickBot="1">
      <c r="A22" s="1211" t="s">
        <v>396</v>
      </c>
      <c r="B22" s="147" t="s">
        <v>1527</v>
      </c>
      <c r="C22" s="148"/>
      <c r="D22" s="843"/>
      <c r="E22" s="843"/>
      <c r="F22" s="843"/>
      <c r="G22" s="845"/>
      <c r="H22" s="845"/>
      <c r="I22" s="845"/>
      <c r="J22" s="845">
        <f>'[11]эксплуат. затр. по очистным'!B10/4</f>
        <v>39250.230948560005</v>
      </c>
      <c r="K22" s="845">
        <f>'[11]эксплуат. затр. по очистным'!B10</f>
        <v>157000.92379424002</v>
      </c>
      <c r="L22" s="845">
        <f>K22*1.043</f>
        <v>163751.96351739235</v>
      </c>
      <c r="M22" s="865"/>
      <c r="N22" s="866"/>
      <c r="O22" s="867"/>
      <c r="P22" s="845">
        <v>0</v>
      </c>
      <c r="Q22" s="849">
        <f t="shared" si="9"/>
        <v>39250.230948560005</v>
      </c>
      <c r="R22" s="3310" t="s">
        <v>1833</v>
      </c>
      <c r="S22" s="845"/>
      <c r="T22" s="3304"/>
    </row>
    <row r="23" spans="1:20" ht="65.25" thickTop="1" thickBot="1">
      <c r="A23" s="1213" t="s">
        <v>33</v>
      </c>
      <c r="B23" s="142" t="s">
        <v>34</v>
      </c>
      <c r="C23" s="143" t="s">
        <v>11</v>
      </c>
      <c r="D23" s="868">
        <f>D24+D25</f>
        <v>75835.100000000006</v>
      </c>
      <c r="E23" s="868">
        <f t="shared" ref="E23:P23" si="10">E24+E25</f>
        <v>149280.64026493669</v>
      </c>
      <c r="F23" s="869">
        <f t="shared" si="10"/>
        <v>158289.89853886364</v>
      </c>
      <c r="G23" s="864">
        <f t="shared" si="10"/>
        <v>161683.15563136799</v>
      </c>
      <c r="H23" s="864">
        <f t="shared" si="10"/>
        <v>74489.749850880005</v>
      </c>
      <c r="I23" s="864">
        <f t="shared" si="10"/>
        <v>155915.27078399999</v>
      </c>
      <c r="J23" s="864">
        <f t="shared" si="10"/>
        <v>149281.81613289504</v>
      </c>
      <c r="K23" s="864">
        <f t="shared" si="10"/>
        <v>153178.94563795993</v>
      </c>
      <c r="L23" s="864">
        <f t="shared" si="10"/>
        <v>159765.6403003922</v>
      </c>
      <c r="M23" s="864">
        <f t="shared" si="10"/>
        <v>149281.81613289504</v>
      </c>
      <c r="N23" s="864">
        <f t="shared" si="10"/>
        <v>0</v>
      </c>
      <c r="O23" s="864">
        <f t="shared" si="10"/>
        <v>0</v>
      </c>
      <c r="P23" s="864">
        <f t="shared" si="10"/>
        <v>149281.81613289504</v>
      </c>
      <c r="Q23" s="849">
        <f t="shared" si="9"/>
        <v>0</v>
      </c>
      <c r="R23" s="864"/>
      <c r="S23" s="864">
        <f t="shared" si="6"/>
        <v>7.8768951972119083E-6</v>
      </c>
      <c r="T23" s="3311">
        <f t="shared" si="7"/>
        <v>-4.2545253057955645E-2</v>
      </c>
    </row>
    <row r="24" spans="1:20" ht="27" thickTop="1" thickBot="1">
      <c r="A24" s="1148" t="s">
        <v>35</v>
      </c>
      <c r="B24" s="10" t="s">
        <v>36</v>
      </c>
      <c r="C24" s="11" t="s">
        <v>11</v>
      </c>
      <c r="D24" s="843">
        <f>'[11]Зар.плата осн.персонала'!D191</f>
        <v>58245.100000000006</v>
      </c>
      <c r="E24" s="829">
        <f>'[11]Зар.плата осн.персонала'!E191</f>
        <v>114654.86963512802</v>
      </c>
      <c r="F24" s="829">
        <f>'[11]Зар.плата осн.персонала'!F191</f>
        <v>121574.42284090909</v>
      </c>
      <c r="G24" s="829">
        <f>'[11]Зар.плата осн.персонала'!G191</f>
        <v>124180.611084</v>
      </c>
      <c r="H24" s="829">
        <f>'[11]Зар.плата осн.персонала'!H191</f>
        <v>57211.78944</v>
      </c>
      <c r="I24" s="829">
        <f>'[11]Зар.плата осн.персонала'!I191</f>
        <v>119750.592</v>
      </c>
      <c r="J24" s="829">
        <f>'[11]Зар.плата осн.персонала'!J191</f>
        <v>114655.77275952</v>
      </c>
      <c r="K24" s="829">
        <f>'[11]Зар.плата осн.персонала'!K191</f>
        <v>117648.95978337935</v>
      </c>
      <c r="L24" s="829">
        <f>'[11]Зар.плата осн.персонала'!L191</f>
        <v>122707.86505406466</v>
      </c>
      <c r="M24" s="873">
        <f>'[11]Зар.плата осн.персонала'!M191</f>
        <v>114655.77275952</v>
      </c>
      <c r="N24" s="874">
        <f>'[11]Зар.плата осн.персонала'!N191</f>
        <v>0</v>
      </c>
      <c r="O24" s="872">
        <f>'[11]Зар.плата осн.персонала'!O191</f>
        <v>0</v>
      </c>
      <c r="P24" s="829">
        <v>114655.77275952</v>
      </c>
      <c r="Q24" s="849">
        <f t="shared" si="9"/>
        <v>0</v>
      </c>
      <c r="R24" s="829"/>
      <c r="S24" s="829">
        <f t="shared" si="6"/>
        <v>7.8768951972119083E-6</v>
      </c>
      <c r="T24" s="3312">
        <f t="shared" si="7"/>
        <v>-4.2545253057955756E-2</v>
      </c>
    </row>
    <row r="25" spans="1:20" ht="39.75" thickTop="1" thickBot="1">
      <c r="A25" s="1212" t="s">
        <v>37</v>
      </c>
      <c r="B25" s="150" t="s">
        <v>38</v>
      </c>
      <c r="C25" s="151" t="s">
        <v>11</v>
      </c>
      <c r="D25" s="868">
        <f>'[11]Зар.плата осн.персонала'!D193</f>
        <v>17590</v>
      </c>
      <c r="E25" s="858">
        <f>'[11]Зар.плата осн.персонала'!E193</f>
        <v>34625.770629808663</v>
      </c>
      <c r="F25" s="858">
        <f>'[11]Зар.плата осн.персонала'!F193</f>
        <v>36715.475697954542</v>
      </c>
      <c r="G25" s="858">
        <f>'[11]Зар.плата осн.персонала'!G193</f>
        <v>37502.544547368001</v>
      </c>
      <c r="H25" s="858">
        <f>'[11]Зар.плата осн.персонала'!H193</f>
        <v>17277.960410879998</v>
      </c>
      <c r="I25" s="858">
        <f>'[11]Зар.плата осн.персонала'!I193</f>
        <v>36164.678783999996</v>
      </c>
      <c r="J25" s="858">
        <f>'[11]Зар.плата осн.персонала'!J193</f>
        <v>34626.04337337504</v>
      </c>
      <c r="K25" s="858">
        <f>'[11]Зар.плата осн.персонала'!K193</f>
        <v>35529.985854580562</v>
      </c>
      <c r="L25" s="858">
        <f>'[11]Зар.плата осн.персонала'!L193</f>
        <v>37057.775246327532</v>
      </c>
      <c r="M25" s="861">
        <f>'[11]Зар.плата осн.персонала'!M193</f>
        <v>34626.04337337504</v>
      </c>
      <c r="N25" s="862">
        <f>'[11]Зар.плата осн.персонала'!N193</f>
        <v>0</v>
      </c>
      <c r="O25" s="860">
        <f>'[11]Зар.плата осн.персонала'!O193</f>
        <v>0</v>
      </c>
      <c r="P25" s="858">
        <v>34626.04337337504</v>
      </c>
      <c r="Q25" s="849">
        <f t="shared" si="9"/>
        <v>0</v>
      </c>
      <c r="R25" s="858"/>
      <c r="S25" s="858">
        <f t="shared" si="6"/>
        <v>7.8768951972119083E-6</v>
      </c>
      <c r="T25" s="3309">
        <f t="shared" si="7"/>
        <v>-4.2545253057955534E-2</v>
      </c>
    </row>
    <row r="26" spans="1:20" ht="27" thickTop="1" thickBot="1">
      <c r="A26" s="1211" t="s">
        <v>40</v>
      </c>
      <c r="B26" s="147" t="s">
        <v>39</v>
      </c>
      <c r="C26" s="148" t="s">
        <v>11</v>
      </c>
      <c r="D26" s="843">
        <f>'[11]расшифровки ВО_2016'!D311-0.02</f>
        <v>4755.9975440640001</v>
      </c>
      <c r="E26" s="843">
        <f>'[11]расшифровка кредитов'!C106</f>
        <v>4581.8544556098004</v>
      </c>
      <c r="F26" s="843">
        <v>10180.370000000001</v>
      </c>
      <c r="G26" s="843">
        <f>'[11]расшифровки ВО_2016'!G311</f>
        <v>13109.711537338982</v>
      </c>
      <c r="H26" s="843">
        <f>'[11]расшифровки ВО_2016'!H311</f>
        <v>5417.9869123729995</v>
      </c>
      <c r="I26" s="843">
        <f>'[11]расшифровки ВО_2016'!I311</f>
        <v>9884.824734877162</v>
      </c>
      <c r="J26" s="843">
        <f>'[11]расшифровки ВО_2016'!J311</f>
        <v>17046.227650000001</v>
      </c>
      <c r="K26" s="843">
        <f>'[11]расшифровки ВО_2016'!K311</f>
        <v>7702.916512499999</v>
      </c>
      <c r="L26" s="843">
        <f>'[11]расшифровки ВО_2016'!L311</f>
        <v>3851.4582562499995</v>
      </c>
      <c r="M26" s="870">
        <f>'[11]расшифровки ВО_2016'!R311</f>
        <v>0</v>
      </c>
      <c r="N26" s="866">
        <f>'[11]расшифровки ВО_2016'!P311</f>
        <v>0</v>
      </c>
      <c r="O26" s="863">
        <f>'[11]расшифровки ВО_2016'!Q311</f>
        <v>0</v>
      </c>
      <c r="P26" s="843">
        <v>17046.23</v>
      </c>
      <c r="Q26" s="849">
        <f t="shared" si="9"/>
        <v>-2.3499999988416675E-3</v>
      </c>
      <c r="R26" s="843"/>
      <c r="S26" s="843">
        <f t="shared" si="6"/>
        <v>2.720377887413997</v>
      </c>
      <c r="T26" s="3304">
        <f t="shared" si="7"/>
        <v>0.72448479939708621</v>
      </c>
    </row>
    <row r="27" spans="1:20" ht="16.5" thickTop="1" thickBot="1">
      <c r="A27" s="1214" t="s">
        <v>41</v>
      </c>
      <c r="B27" s="142" t="s">
        <v>391</v>
      </c>
      <c r="C27" s="143" t="s">
        <v>11</v>
      </c>
      <c r="D27" s="875">
        <f>36041+6210-3430.97-7105.11+14210.22</f>
        <v>45925.14</v>
      </c>
      <c r="E27" s="875">
        <v>14441.37</v>
      </c>
      <c r="F27" s="875">
        <v>30517.43</v>
      </c>
      <c r="G27" s="875">
        <v>15008.97</v>
      </c>
      <c r="H27" s="875">
        <f>'[11]Цеховые расходы '!J64</f>
        <v>7553.5507701500637</v>
      </c>
      <c r="I27" s="875">
        <f>'[11]Цеховые расходы '!K64</f>
        <v>15023.671320300129</v>
      </c>
      <c r="J27" s="875">
        <f>'[11]Цеховые расходы '!L64</f>
        <v>15762.784213813629</v>
      </c>
      <c r="K27" s="875">
        <f>'[11]Цеховые расходы '!M64</f>
        <v>16494.768785727618</v>
      </c>
      <c r="L27" s="875">
        <f>'[11]Цеховые расходы '!N64</f>
        <v>17167.731179493905</v>
      </c>
      <c r="M27" s="877"/>
      <c r="N27" s="878"/>
      <c r="O27" s="876"/>
      <c r="P27" s="875">
        <f>'[11]Цеховые расходы '!O64</f>
        <v>9016.0431957204019</v>
      </c>
      <c r="Q27" s="849">
        <f t="shared" si="9"/>
        <v>6746.7410180932275</v>
      </c>
      <c r="R27" s="875"/>
      <c r="S27" s="875">
        <f t="shared" si="6"/>
        <v>-0.37567950992735444</v>
      </c>
      <c r="T27" s="3313">
        <f t="shared" si="7"/>
        <v>-0.39987749974682707</v>
      </c>
    </row>
    <row r="28" spans="1:20" ht="27" thickTop="1" thickBot="1">
      <c r="A28" s="1214" t="s">
        <v>42</v>
      </c>
      <c r="B28" s="142" t="s">
        <v>43</v>
      </c>
      <c r="C28" s="143" t="s">
        <v>11</v>
      </c>
      <c r="D28" s="868">
        <f>D29+D30+D31+D32+D33</f>
        <v>3460</v>
      </c>
      <c r="E28" s="868">
        <f t="shared" ref="E28:P28" si="11">E29+E30+E31+E32</f>
        <v>6055.0840326193938</v>
      </c>
      <c r="F28" s="869">
        <f t="shared" si="11"/>
        <v>4105</v>
      </c>
      <c r="G28" s="864">
        <f t="shared" si="11"/>
        <v>9056.5323926193942</v>
      </c>
      <c r="H28" s="864">
        <f t="shared" si="11"/>
        <v>6762.6975212000007</v>
      </c>
      <c r="I28" s="864">
        <f t="shared" si="11"/>
        <v>12061.157602400001</v>
      </c>
      <c r="J28" s="864">
        <f t="shared" si="11"/>
        <v>9029.6687392546464</v>
      </c>
      <c r="K28" s="864">
        <f t="shared" si="11"/>
        <v>9206.2346635699469</v>
      </c>
      <c r="L28" s="864">
        <f t="shared" si="11"/>
        <v>9381.6981654814481</v>
      </c>
      <c r="M28" s="864">
        <f t="shared" si="11"/>
        <v>0</v>
      </c>
      <c r="N28" s="864" t="e">
        <f t="shared" si="11"/>
        <v>#VALUE!</v>
      </c>
      <c r="O28" s="864">
        <f t="shared" si="11"/>
        <v>0</v>
      </c>
      <c r="P28" s="864">
        <f t="shared" si="11"/>
        <v>3158.7799999999997</v>
      </c>
      <c r="Q28" s="849">
        <f t="shared" si="9"/>
        <v>5870.8887392546467</v>
      </c>
      <c r="R28" s="864"/>
      <c r="S28" s="864">
        <f t="shared" si="6"/>
        <v>-0.47832598474549493</v>
      </c>
      <c r="T28" s="3311">
        <f t="shared" si="7"/>
        <v>-0.73810308229688948</v>
      </c>
    </row>
    <row r="29" spans="1:20" ht="26.25" thickTop="1">
      <c r="A29" s="1148" t="s">
        <v>44</v>
      </c>
      <c r="B29" s="10" t="s">
        <v>1533</v>
      </c>
      <c r="C29" s="11" t="s">
        <v>11</v>
      </c>
      <c r="D29" s="849">
        <v>0</v>
      </c>
      <c r="E29" s="849">
        <f>'[11]расшифровки ВО_2016'!E320</f>
        <v>0</v>
      </c>
      <c r="F29" s="849">
        <v>0</v>
      </c>
      <c r="G29" s="849">
        <f>'[11]расшифровки ВО_2016'!G320</f>
        <v>0</v>
      </c>
      <c r="H29" s="849">
        <f>'[11]расшифровки ВО_2016'!H293</f>
        <v>548.04178999999999</v>
      </c>
      <c r="I29" s="849">
        <f>'[11]расшифровки ВО_2016'!I293</f>
        <v>1277.0371400000001</v>
      </c>
      <c r="J29" s="849">
        <f>'[11]расшифровки ВО_2016'!J293</f>
        <v>1324.1685731999999</v>
      </c>
      <c r="K29" s="849">
        <f>'[11]расшифровки ВО_2016'!K293</f>
        <v>1344.7450520549498</v>
      </c>
      <c r="L29" s="849">
        <f>'[11]расшифровки ВО_2016'!L293</f>
        <v>1366.7454023058515</v>
      </c>
      <c r="M29" s="853">
        <v>0</v>
      </c>
      <c r="N29" s="854">
        <f>'[11]расшифровки ВО_2016'!P320</f>
        <v>0</v>
      </c>
      <c r="O29" s="852">
        <f>'[11]расшифровки ВО_2016'!Q320</f>
        <v>0</v>
      </c>
      <c r="P29" s="849">
        <v>0</v>
      </c>
      <c r="Q29" s="849">
        <f t="shared" si="9"/>
        <v>1324.1685731999999</v>
      </c>
      <c r="R29" s="849"/>
      <c r="S29" s="849"/>
      <c r="T29" s="3306"/>
    </row>
    <row r="30" spans="1:20" ht="33" hidden="1" customHeight="1">
      <c r="A30" s="1148" t="s">
        <v>45</v>
      </c>
      <c r="B30" s="12" t="s">
        <v>46</v>
      </c>
      <c r="C30" s="13" t="s">
        <v>11</v>
      </c>
      <c r="D30" s="447">
        <f>'[11]расшифровки ВО_2016'!D321</f>
        <v>2100</v>
      </c>
      <c r="E30" s="447">
        <f>'[11]расшифровки ВО_2016'!E416</f>
        <v>3763.8710000000001</v>
      </c>
      <c r="F30" s="447">
        <f>'[11]расшифровки ВО_2016'!F321</f>
        <v>3104</v>
      </c>
      <c r="G30" s="447">
        <f>'[11]расшифровки ВО_2016'!G321</f>
        <v>6765.3193600000004</v>
      </c>
      <c r="H30" s="447">
        <f>'[11]расшифровки ВО_2016'!H416</f>
        <v>5483.97</v>
      </c>
      <c r="I30" s="447">
        <f>'[11]расшифровки ВО_2016'!I416</f>
        <v>9322.7489999999998</v>
      </c>
      <c r="J30" s="447">
        <f>'[11]расшифровки ВО_2016'!J416</f>
        <v>5313.4737599999999</v>
      </c>
      <c r="K30" s="447">
        <f>'[11]расшифровки ВО_2016'!K416</f>
        <v>5366.6060699999998</v>
      </c>
      <c r="L30" s="447">
        <f>'[11]расшифровки ВО_2016'!L416</f>
        <v>5420.2738799999997</v>
      </c>
      <c r="M30" s="856">
        <f>'[11]расшифровки ВО_2016'!R321</f>
        <v>0</v>
      </c>
      <c r="N30" s="857" t="str">
        <f>'[11]расшифровки ВО_2016'!P321</f>
        <v>в амортизации</v>
      </c>
      <c r="O30" s="855">
        <f>'[11]расшифровки ВО_2016'!Q321</f>
        <v>0</v>
      </c>
      <c r="P30" s="447">
        <v>0</v>
      </c>
      <c r="Q30" s="3314" t="s">
        <v>1834</v>
      </c>
      <c r="R30" s="56"/>
      <c r="S30" s="447"/>
      <c r="T30" s="1075"/>
    </row>
    <row r="31" spans="1:20">
      <c r="A31" s="1148" t="s">
        <v>47</v>
      </c>
      <c r="B31" s="12" t="s">
        <v>974</v>
      </c>
      <c r="C31" s="13" t="s">
        <v>11</v>
      </c>
      <c r="D31" s="447">
        <f>'[11]расшифровки ВО_2016'!D325</f>
        <v>1360</v>
      </c>
      <c r="E31" s="447">
        <f>'[11]расшифровки ВО_2016'!E325</f>
        <v>2291.2130326193937</v>
      </c>
      <c r="F31" s="447">
        <f>'[11]расшифровки ВО_2016'!F325</f>
        <v>1001</v>
      </c>
      <c r="G31" s="447">
        <f>'[11]расшифровки ВО_2016'!G325</f>
        <v>2291.2130326193937</v>
      </c>
      <c r="H31" s="447">
        <f>'[11]расшифровки ВО_2016'!H325</f>
        <v>730.68573120000008</v>
      </c>
      <c r="I31" s="447">
        <f>'[11]расшифровки ВО_2016'!I325</f>
        <v>1461.3714624000002</v>
      </c>
      <c r="J31" s="447">
        <f>'[11]расшифровки ВО_2016'!J325</f>
        <v>2392.0264060546469</v>
      </c>
      <c r="K31" s="447">
        <f>'[11]расшифровки ВО_2016'!K325</f>
        <v>2494.8835415149965</v>
      </c>
      <c r="L31" s="447">
        <f>'[11]расшифровки ВО_2016'!L325</f>
        <v>2594.6788831755966</v>
      </c>
      <c r="M31" s="856">
        <f>'[11]расшифровки ВО_2016'!R325</f>
        <v>0</v>
      </c>
      <c r="N31" s="857">
        <f>'[11]расшифровки ВО_2016'!P325</f>
        <v>0</v>
      </c>
      <c r="O31" s="855">
        <f>'[11]расшифровки ВО_2016'!Q325</f>
        <v>0</v>
      </c>
      <c r="P31" s="447">
        <v>1505.21</v>
      </c>
      <c r="Q31" s="849">
        <f t="shared" si="9"/>
        <v>886.8164060546469</v>
      </c>
      <c r="R31" s="447"/>
      <c r="S31" s="447">
        <f t="shared" si="6"/>
        <v>-0.34305104825665556</v>
      </c>
      <c r="T31" s="1075">
        <f t="shared" si="7"/>
        <v>2.999821655748236E-2</v>
      </c>
    </row>
    <row r="32" spans="1:20" ht="26.25" thickBot="1">
      <c r="A32" s="1148" t="s">
        <v>48</v>
      </c>
      <c r="B32" s="16" t="s">
        <v>1835</v>
      </c>
      <c r="C32" s="17" t="s">
        <v>11</v>
      </c>
      <c r="D32" s="879">
        <v>0</v>
      </c>
      <c r="E32" s="879">
        <f>'[11]расшифровки ВО_2016'!E326</f>
        <v>0</v>
      </c>
      <c r="F32" s="879">
        <v>0</v>
      </c>
      <c r="G32" s="879">
        <v>0</v>
      </c>
      <c r="H32" s="879">
        <v>0</v>
      </c>
      <c r="I32" s="879">
        <v>0</v>
      </c>
      <c r="J32" s="879">
        <v>0</v>
      </c>
      <c r="K32" s="879">
        <v>0</v>
      </c>
      <c r="L32" s="879">
        <v>0</v>
      </c>
      <c r="M32" s="1243">
        <f>'[11]расшифровки ВО_2016'!O326</f>
        <v>0</v>
      </c>
      <c r="N32" s="881">
        <f>'[11]расшифровки ВО_2016'!P326</f>
        <v>0</v>
      </c>
      <c r="O32" s="1244">
        <f>'[11]расшифровки ВО_2016'!Q326</f>
        <v>0</v>
      </c>
      <c r="P32" s="879">
        <v>1653.57</v>
      </c>
      <c r="Q32" s="849">
        <f t="shared" si="9"/>
        <v>-1653.57</v>
      </c>
      <c r="R32" s="879"/>
      <c r="S32" s="879"/>
      <c r="T32" s="3315"/>
    </row>
    <row r="33" spans="1:20" ht="15.75" thickBot="1">
      <c r="A33" s="180"/>
      <c r="B33" s="1245" t="s">
        <v>967</v>
      </c>
      <c r="C33" s="1246"/>
      <c r="D33" s="454">
        <v>0</v>
      </c>
      <c r="E33" s="454"/>
      <c r="F33" s="454"/>
      <c r="G33" s="454"/>
      <c r="H33" s="454"/>
      <c r="I33" s="454"/>
      <c r="J33" s="454"/>
      <c r="K33" s="454"/>
      <c r="L33" s="454"/>
      <c r="M33" s="1247"/>
      <c r="N33" s="1248"/>
      <c r="O33" s="1247"/>
      <c r="P33" s="454">
        <v>0</v>
      </c>
      <c r="Q33" s="849">
        <f t="shared" si="9"/>
        <v>0</v>
      </c>
      <c r="R33" s="454"/>
      <c r="S33" s="454"/>
      <c r="T33" s="3316"/>
    </row>
    <row r="34" spans="1:20" ht="15.75" thickBot="1">
      <c r="A34" s="18" t="s">
        <v>50</v>
      </c>
      <c r="B34" s="7" t="s">
        <v>51</v>
      </c>
      <c r="C34" s="19" t="s">
        <v>11</v>
      </c>
      <c r="D34" s="883">
        <f>D35+D36+D37</f>
        <v>60659.203448275861</v>
      </c>
      <c r="E34" s="883">
        <f t="shared" ref="E34:P34" si="12">E35+E36+E37</f>
        <v>19147.084251199998</v>
      </c>
      <c r="F34" s="883">
        <f t="shared" si="12"/>
        <v>23906.55411248</v>
      </c>
      <c r="G34" s="883">
        <f t="shared" si="12"/>
        <v>27941.667134399999</v>
      </c>
      <c r="H34" s="883">
        <f t="shared" si="12"/>
        <v>10345.865567999997</v>
      </c>
      <c r="I34" s="883">
        <f t="shared" si="12"/>
        <v>24610.114120000002</v>
      </c>
      <c r="J34" s="883">
        <f t="shared" si="12"/>
        <v>30091.311472000001</v>
      </c>
      <c r="K34" s="883">
        <f t="shared" si="12"/>
        <v>41307.512365296003</v>
      </c>
      <c r="L34" s="883">
        <f t="shared" si="12"/>
        <v>27989.820473003732</v>
      </c>
      <c r="M34" s="883">
        <f t="shared" si="12"/>
        <v>0</v>
      </c>
      <c r="N34" s="883" t="e">
        <f t="shared" si="12"/>
        <v>#VALUE!</v>
      </c>
      <c r="O34" s="883">
        <f t="shared" si="12"/>
        <v>0</v>
      </c>
      <c r="P34" s="883">
        <f t="shared" si="12"/>
        <v>14243.551471999999</v>
      </c>
      <c r="Q34" s="849">
        <f t="shared" si="9"/>
        <v>15847.760000000002</v>
      </c>
      <c r="R34" s="883"/>
      <c r="S34" s="883">
        <f t="shared" si="6"/>
        <v>-0.25609814606068193</v>
      </c>
      <c r="T34" s="3317">
        <f t="shared" si="7"/>
        <v>-0.42123179914778885</v>
      </c>
    </row>
    <row r="35" spans="1:20" ht="51.75" thickBot="1">
      <c r="A35" s="1216" t="s">
        <v>52</v>
      </c>
      <c r="B35" s="139" t="s">
        <v>519</v>
      </c>
      <c r="C35" s="140" t="s">
        <v>11</v>
      </c>
      <c r="D35" s="886">
        <f>'[11]расшифровки ВО_2016'!D343</f>
        <v>8359.7999999999993</v>
      </c>
      <c r="E35" s="886">
        <f>'[11]расшифровки ВО_2016'!E343</f>
        <v>6490.6</v>
      </c>
      <c r="F35" s="886">
        <f>'[11]расшифровки ВО_2016'!F343</f>
        <v>8632.2999999999993</v>
      </c>
      <c r="G35" s="886">
        <f>'[11]расшифровки ВО_2016'!G343</f>
        <v>8947.9</v>
      </c>
      <c r="H35" s="886">
        <f>'[11]расшифровки ВО_2016'!H343</f>
        <v>3863.4332639999993</v>
      </c>
      <c r="I35" s="886">
        <f>'[11]расшифровки ВО_2016'!I343</f>
        <v>8497</v>
      </c>
      <c r="J35" s="886">
        <f>'[11]расшифровки ВО_2016'!J343</f>
        <v>10862.6</v>
      </c>
      <c r="K35" s="886">
        <f>'[11]расшифровки ВО_2016'!K343</f>
        <v>11329.69</v>
      </c>
      <c r="L35" s="886">
        <f>'[11]расшифровки ВО_2016'!L343</f>
        <v>11816.86</v>
      </c>
      <c r="M35" s="847">
        <f>'[11]расшифровки ВО_2016'!R343</f>
        <v>0</v>
      </c>
      <c r="N35" s="848">
        <f>'[11]расшифровки ВО_2016'!P343</f>
        <v>0</v>
      </c>
      <c r="O35" s="846">
        <f>'[11]расшифровки ВО_2016'!Q343</f>
        <v>0</v>
      </c>
      <c r="P35" s="886">
        <v>8856.74</v>
      </c>
      <c r="Q35" s="849">
        <f t="shared" si="9"/>
        <v>2005.8600000000006</v>
      </c>
      <c r="R35" s="886"/>
      <c r="S35" s="886">
        <f t="shared" si="6"/>
        <v>0.36454873201244875</v>
      </c>
      <c r="T35" s="3318">
        <f t="shared" si="7"/>
        <v>4.2337295516064577E-2</v>
      </c>
    </row>
    <row r="36" spans="1:20" ht="52.5" thickTop="1" thickBot="1">
      <c r="A36" s="1214" t="s">
        <v>54</v>
      </c>
      <c r="B36" s="142" t="s">
        <v>522</v>
      </c>
      <c r="C36" s="143" t="s">
        <v>11</v>
      </c>
      <c r="D36" s="868">
        <f>'[11]расшифровки ВО_2016'!D351</f>
        <v>49684.4</v>
      </c>
      <c r="E36" s="868">
        <f>'[11]расшифровки ВО_2016'!E351</f>
        <v>7893.1359999999986</v>
      </c>
      <c r="F36" s="868">
        <f>'[11]расшифровки ВО_2016'!F351</f>
        <v>10011.700000000001</v>
      </c>
      <c r="G36" s="868">
        <f>'[11]расшифровки ВО_2016'!G351</f>
        <v>13841.9</v>
      </c>
      <c r="H36" s="868">
        <f>'[11]расшифровки ВО_2016'!H343</f>
        <v>3863.4332639999993</v>
      </c>
      <c r="I36" s="868">
        <f>'[11]расшифровки ВО_2016'!H351</f>
        <v>10933.263360000001</v>
      </c>
      <c r="J36" s="868">
        <f>'[11]расшифровки ВО_2016'!I351</f>
        <v>13841.9</v>
      </c>
      <c r="K36" s="868">
        <f>'[11]расшифровки ВО_2016'!J351</f>
        <v>24359.378000000001</v>
      </c>
      <c r="L36" s="868">
        <f>'[11]расшифровки ВО_2016'!K351</f>
        <v>10312.923000000001</v>
      </c>
      <c r="M36" s="870">
        <f>'[11]расшифровки ВО_2016'!R351</f>
        <v>0</v>
      </c>
      <c r="N36" s="871" t="str">
        <f>'[11]расшифровки ВО_2016'!P351</f>
        <v xml:space="preserve"> за счёт амортизации</v>
      </c>
      <c r="O36" s="863">
        <f>'[11]расшифровки ВО_2016'!Q351</f>
        <v>0</v>
      </c>
      <c r="P36" s="868">
        <v>0</v>
      </c>
      <c r="Q36" s="3314" t="s">
        <v>1091</v>
      </c>
      <c r="R36" s="868"/>
      <c r="S36" s="868">
        <f t="shared" si="6"/>
        <v>-1</v>
      </c>
      <c r="T36" s="3311">
        <f t="shared" si="7"/>
        <v>-1</v>
      </c>
    </row>
    <row r="37" spans="1:20" ht="52.5" thickTop="1" thickBot="1">
      <c r="A37" s="1214" t="s">
        <v>56</v>
      </c>
      <c r="B37" s="142" t="s">
        <v>57</v>
      </c>
      <c r="C37" s="143" t="s">
        <v>11</v>
      </c>
      <c r="D37" s="868">
        <f>D38+D39</f>
        <v>2615.0034482758624</v>
      </c>
      <c r="E37" s="868">
        <f t="shared" ref="E37:P37" si="13">E38+E39</f>
        <v>4763.3482511999991</v>
      </c>
      <c r="F37" s="868">
        <f t="shared" si="13"/>
        <v>5262.5541124800002</v>
      </c>
      <c r="G37" s="864">
        <f t="shared" si="13"/>
        <v>5151.8671344000004</v>
      </c>
      <c r="H37" s="864">
        <f t="shared" si="13"/>
        <v>2618.9990399999997</v>
      </c>
      <c r="I37" s="864">
        <f t="shared" si="13"/>
        <v>5179.8507600000003</v>
      </c>
      <c r="J37" s="864">
        <f t="shared" si="13"/>
        <v>5386.8114720000003</v>
      </c>
      <c r="K37" s="864">
        <f t="shared" si="13"/>
        <v>5618.4443652959999</v>
      </c>
      <c r="L37" s="864">
        <f t="shared" si="13"/>
        <v>5860.0374730037274</v>
      </c>
      <c r="M37" s="864">
        <f t="shared" si="13"/>
        <v>0</v>
      </c>
      <c r="N37" s="864">
        <f t="shared" si="13"/>
        <v>0</v>
      </c>
      <c r="O37" s="864">
        <f t="shared" si="13"/>
        <v>0</v>
      </c>
      <c r="P37" s="864">
        <f t="shared" si="13"/>
        <v>5386.8114720000003</v>
      </c>
      <c r="Q37" s="849">
        <f t="shared" si="9"/>
        <v>0</v>
      </c>
      <c r="R37" s="864"/>
      <c r="S37" s="864">
        <f t="shared" si="6"/>
        <v>0.13088760004959465</v>
      </c>
      <c r="T37" s="3311">
        <f t="shared" si="7"/>
        <v>3.9954956540099174E-2</v>
      </c>
    </row>
    <row r="38" spans="1:20" ht="26.25" thickTop="1">
      <c r="A38" s="1148" t="s">
        <v>58</v>
      </c>
      <c r="B38" s="10" t="s">
        <v>59</v>
      </c>
      <c r="C38" s="11" t="s">
        <v>11</v>
      </c>
      <c r="D38" s="849">
        <f>D24/87*3</f>
        <v>2008.4517241379313</v>
      </c>
      <c r="E38" s="849">
        <f>'[11]Зар.плата осн.персонала'!E265</f>
        <v>3658.4855999999995</v>
      </c>
      <c r="F38" s="849">
        <f>'[11]Зар.плата осн.персонала'!F265</f>
        <v>4041.9002400000004</v>
      </c>
      <c r="G38" s="849">
        <f>'[11]Зар.плата осн.персонала'!G265</f>
        <v>3956.8872000000001</v>
      </c>
      <c r="H38" s="849">
        <f>'[11]Зар.плата осн.персонала'!H265</f>
        <v>2011.52</v>
      </c>
      <c r="I38" s="849">
        <f>'[11]Зар.плата осн.персонала'!I265</f>
        <v>3978.38</v>
      </c>
      <c r="J38" s="849">
        <f>'[11]Зар.плата осн.персонала'!J265</f>
        <v>4137.3360000000002</v>
      </c>
      <c r="K38" s="849">
        <f>'[11]Зар.плата осн.персонала'!K265</f>
        <v>4315.2414479999998</v>
      </c>
      <c r="L38" s="849">
        <f>'[11]Зар.плата осн.персонала'!L265</f>
        <v>4500.7968302639993</v>
      </c>
      <c r="M38" s="853">
        <f>'[11]расшифровки ВО_2016'!O359</f>
        <v>0</v>
      </c>
      <c r="N38" s="854">
        <f>'[11]расшифровки ВО_2016'!P359</f>
        <v>0</v>
      </c>
      <c r="O38" s="852">
        <f>'[11]расшифровки ВО_2016'!Q359</f>
        <v>0</v>
      </c>
      <c r="P38" s="849">
        <v>4137.3360000000002</v>
      </c>
      <c r="Q38" s="849">
        <f t="shared" si="9"/>
        <v>0</v>
      </c>
      <c r="R38" s="849"/>
      <c r="S38" s="849">
        <f t="shared" si="6"/>
        <v>0.13088760004959443</v>
      </c>
      <c r="T38" s="3306">
        <f t="shared" si="7"/>
        <v>3.9954956540099174E-2</v>
      </c>
    </row>
    <row r="39" spans="1:20" ht="39" thickBot="1">
      <c r="A39" s="1215" t="s">
        <v>60</v>
      </c>
      <c r="B39" s="16" t="s">
        <v>61</v>
      </c>
      <c r="C39" s="17" t="s">
        <v>11</v>
      </c>
      <c r="D39" s="879">
        <f>D25/87*3</f>
        <v>606.55172413793105</v>
      </c>
      <c r="E39" s="879">
        <f>'[11]Зар.плата осн.персонала'!E267</f>
        <v>1104.8626511999998</v>
      </c>
      <c r="F39" s="879">
        <f>'[11]Зар.плата осн.персонала'!F267</f>
        <v>1220.6538724800002</v>
      </c>
      <c r="G39" s="879">
        <f>'[11]расшифровки ВО_2016'!G360</f>
        <v>1194.9799344</v>
      </c>
      <c r="H39" s="879">
        <f>'[11]Зар.плата осн.персонала'!H267</f>
        <v>607.47903999999994</v>
      </c>
      <c r="I39" s="879">
        <f>'[11]Зар.плата осн.персонала'!I267</f>
        <v>1201.4707599999999</v>
      </c>
      <c r="J39" s="879">
        <f>'[11]Зар.плата осн.персонала'!J267</f>
        <v>1249.4754720000001</v>
      </c>
      <c r="K39" s="879">
        <f>'[11]Зар.плата осн.персонала'!K267</f>
        <v>1303.2029172959999</v>
      </c>
      <c r="L39" s="879">
        <f>'[11]Зар.плата осн.персонала'!L267</f>
        <v>1359.2406427397277</v>
      </c>
      <c r="M39" s="880">
        <f>'[11]расшифровки ВО_2016'!O360</f>
        <v>0</v>
      </c>
      <c r="N39" s="881">
        <f>'[11]расшифровки ВО_2016'!P360</f>
        <v>0</v>
      </c>
      <c r="O39" s="882">
        <f>'[11]расшифровки ВО_2016'!Q360</f>
        <v>0</v>
      </c>
      <c r="P39" s="879">
        <v>1249.4754720000001</v>
      </c>
      <c r="Q39" s="849">
        <f t="shared" si="9"/>
        <v>0</v>
      </c>
      <c r="R39" s="879"/>
      <c r="S39" s="879">
        <f t="shared" si="6"/>
        <v>0.13088760004959443</v>
      </c>
      <c r="T39" s="3315">
        <f t="shared" si="7"/>
        <v>3.9954956540099396E-2</v>
      </c>
    </row>
    <row r="40" spans="1:20" ht="15.75" thickBot="1">
      <c r="A40" s="20" t="s">
        <v>62</v>
      </c>
      <c r="B40" s="7" t="s">
        <v>63</v>
      </c>
      <c r="C40" s="7" t="s">
        <v>11</v>
      </c>
      <c r="D40" s="887">
        <f>D41+D49+D52+D53+D54+D55+D56</f>
        <v>18770.43</v>
      </c>
      <c r="E40" s="887">
        <f>E41+E49+E52+E53+E54+E55+E56</f>
        <v>28174.500000000004</v>
      </c>
      <c r="F40" s="887">
        <f>F41+F49+F52+F53+F54+F55+F56</f>
        <v>26059.64</v>
      </c>
      <c r="G40" s="887">
        <f t="shared" ref="G40:O40" si="14">G41+G49+G52+G53+G54+G55+G56</f>
        <v>31336.77</v>
      </c>
      <c r="H40" s="887">
        <f t="shared" si="14"/>
        <v>17387.155626600001</v>
      </c>
      <c r="I40" s="887">
        <f t="shared" si="14"/>
        <v>36456.44584375</v>
      </c>
      <c r="J40" s="887">
        <f t="shared" si="14"/>
        <v>31356.86717256275</v>
      </c>
      <c r="K40" s="887">
        <f t="shared" si="14"/>
        <v>28230.087305949546</v>
      </c>
      <c r="L40" s="887">
        <f t="shared" si="14"/>
        <v>29443.98106010538</v>
      </c>
      <c r="M40" s="887">
        <f t="shared" si="14"/>
        <v>0</v>
      </c>
      <c r="N40" s="887">
        <f t="shared" si="14"/>
        <v>0</v>
      </c>
      <c r="O40" s="887">
        <f t="shared" si="14"/>
        <v>0</v>
      </c>
      <c r="P40" s="887">
        <f>P41+P49+P52+P53+P54+P55+P56+4500</f>
        <v>28059.185388386009</v>
      </c>
      <c r="Q40" s="849">
        <f t="shared" si="9"/>
        <v>3297.6817841767406</v>
      </c>
      <c r="R40" s="887"/>
      <c r="S40" s="887">
        <f t="shared" si="6"/>
        <v>-4.0928716255477227E-3</v>
      </c>
      <c r="T40" s="3319">
        <f t="shared" si="7"/>
        <v>-0.2303367830027675</v>
      </c>
    </row>
    <row r="41" spans="1:20" ht="39" thickBot="1">
      <c r="A41" s="1217" t="s">
        <v>64</v>
      </c>
      <c r="B41" s="153" t="s">
        <v>65</v>
      </c>
      <c r="C41" s="154" t="s">
        <v>11</v>
      </c>
      <c r="D41" s="891">
        <f>SUM(D42:D48)</f>
        <v>3545.04</v>
      </c>
      <c r="E41" s="891">
        <f>SUM(E42:E48)</f>
        <v>2969.7299999999996</v>
      </c>
      <c r="F41" s="891">
        <f>SUM(F42:F48)</f>
        <v>2301.3200000000002</v>
      </c>
      <c r="G41" s="892">
        <f t="shared" ref="G41:P41" si="15">SUM(G42:G48)</f>
        <v>3103.36</v>
      </c>
      <c r="H41" s="892">
        <f t="shared" si="15"/>
        <v>2083.1368000000002</v>
      </c>
      <c r="I41" s="892">
        <f t="shared" si="15"/>
        <v>4786.9289616000005</v>
      </c>
      <c r="J41" s="892">
        <f t="shared" si="15"/>
        <v>4381.9272727999996</v>
      </c>
      <c r="K41" s="892">
        <f t="shared" si="15"/>
        <v>0</v>
      </c>
      <c r="L41" s="892">
        <f t="shared" si="15"/>
        <v>0</v>
      </c>
      <c r="M41" s="892">
        <f t="shared" si="15"/>
        <v>0</v>
      </c>
      <c r="N41" s="892">
        <f t="shared" si="15"/>
        <v>0</v>
      </c>
      <c r="O41" s="892">
        <f t="shared" si="15"/>
        <v>0</v>
      </c>
      <c r="P41" s="892">
        <f t="shared" si="15"/>
        <v>2696.8776603104006</v>
      </c>
      <c r="Q41" s="849">
        <f t="shared" si="9"/>
        <v>1685.049612489599</v>
      </c>
      <c r="R41" s="892"/>
      <c r="S41" s="892">
        <f t="shared" si="6"/>
        <v>-9.187782717270554E-2</v>
      </c>
      <c r="T41" s="3320">
        <f t="shared" si="7"/>
        <v>-0.43661631874123608</v>
      </c>
    </row>
    <row r="42" spans="1:20" ht="15.75" thickTop="1">
      <c r="A42" s="1218" t="s">
        <v>66</v>
      </c>
      <c r="B42" s="10" t="s">
        <v>67</v>
      </c>
      <c r="C42" s="3" t="s">
        <v>11</v>
      </c>
      <c r="D42" s="849">
        <v>1009.51</v>
      </c>
      <c r="E42" s="849">
        <v>769.15</v>
      </c>
      <c r="F42" s="850">
        <v>512.72</v>
      </c>
      <c r="G42" s="851">
        <v>803.77</v>
      </c>
      <c r="H42" s="851">
        <f>'[11]Админ. расх. (2)'!O11</f>
        <v>880.67701</v>
      </c>
      <c r="I42" s="851">
        <f>'[11]Админ. расх. (2)'!P11</f>
        <v>1761.35402</v>
      </c>
      <c r="J42" s="851">
        <f>'[11]Админ. расх. (2)'!Q11</f>
        <v>1840.6149508999999</v>
      </c>
      <c r="K42" s="851">
        <f>'[11]Админ. расх. (2)'!R11</f>
        <v>0</v>
      </c>
      <c r="L42" s="851">
        <f>'[11]Админ. расх. (2)'!S11</f>
        <v>0</v>
      </c>
      <c r="M42" s="853"/>
      <c r="N42" s="854"/>
      <c r="O42" s="852"/>
      <c r="P42" s="851">
        <f>'[11]Админ. расх. (2)'!AB11</f>
        <v>625.80908330600005</v>
      </c>
      <c r="Q42" s="849">
        <f t="shared" si="9"/>
        <v>1214.8058675939999</v>
      </c>
      <c r="R42" s="851"/>
      <c r="S42" s="851">
        <f t="shared" si="6"/>
        <v>-0.18636275979197803</v>
      </c>
      <c r="T42" s="3306">
        <f t="shared" si="7"/>
        <v>-0.64470000000000005</v>
      </c>
    </row>
    <row r="43" spans="1:20">
      <c r="A43" s="537" t="s">
        <v>68</v>
      </c>
      <c r="B43" s="12" t="s">
        <v>69</v>
      </c>
      <c r="C43" s="3" t="s">
        <v>11</v>
      </c>
      <c r="D43" s="849">
        <v>882</v>
      </c>
      <c r="E43" s="849">
        <v>286.66000000000003</v>
      </c>
      <c r="F43" s="850">
        <v>605.20000000000005</v>
      </c>
      <c r="G43" s="851">
        <v>299.56</v>
      </c>
      <c r="H43" s="851">
        <f>'[11]Админ. расх. (2)'!O12</f>
        <v>215.07177999999999</v>
      </c>
      <c r="I43" s="851">
        <f>'[11]Админ. расх. (2)'!P12</f>
        <v>430.14355999999998</v>
      </c>
      <c r="J43" s="851">
        <f>'[11]Админ. расх. (2)'!Q12</f>
        <v>449.50002019999994</v>
      </c>
      <c r="K43" s="851">
        <f>'[11]Админ. расх. (2)'!R12</f>
        <v>0</v>
      </c>
      <c r="L43" s="851">
        <f>'[11]Админ. расх. (2)'!S12</f>
        <v>0</v>
      </c>
      <c r="M43" s="853"/>
      <c r="N43" s="854"/>
      <c r="O43" s="852"/>
      <c r="P43" s="851">
        <f>'[11]Админ. расх. (2)'!AB12</f>
        <v>152.830006868</v>
      </c>
      <c r="Q43" s="849">
        <f t="shared" si="9"/>
        <v>296.67001333199994</v>
      </c>
      <c r="R43" s="851"/>
      <c r="S43" s="851">
        <f t="shared" si="6"/>
        <v>-0.4668596704528013</v>
      </c>
      <c r="T43" s="3306">
        <f t="shared" si="7"/>
        <v>-0.64470000000000005</v>
      </c>
    </row>
    <row r="44" spans="1:20">
      <c r="A44" s="537" t="s">
        <v>70</v>
      </c>
      <c r="B44" s="12" t="s">
        <v>71</v>
      </c>
      <c r="C44" s="3" t="s">
        <v>11</v>
      </c>
      <c r="D44" s="849">
        <v>504</v>
      </c>
      <c r="E44" s="849">
        <v>460.15</v>
      </c>
      <c r="F44" s="850">
        <v>408</v>
      </c>
      <c r="G44" s="851">
        <v>480.85</v>
      </c>
      <c r="H44" s="851">
        <f>'[11]Админ. расх. (2)'!O13</f>
        <v>0</v>
      </c>
      <c r="I44" s="851">
        <f>'[11]Админ. расх. (2)'!P13</f>
        <v>1475</v>
      </c>
      <c r="J44" s="851">
        <f>'[11]Админ. расх. (2)'!Q13</f>
        <v>1541.375</v>
      </c>
      <c r="K44" s="851">
        <f>'[11]Админ. расх. (2)'!R13</f>
        <v>0</v>
      </c>
      <c r="L44" s="851">
        <f>'[11]Админ. расх. (2)'!S13</f>
        <v>0</v>
      </c>
      <c r="M44" s="853"/>
      <c r="N44" s="854"/>
      <c r="O44" s="852"/>
      <c r="P44" s="851">
        <f>'[11]Админ. расх. (2)'!AB13</f>
        <v>514.5390000000001</v>
      </c>
      <c r="Q44" s="849">
        <f t="shared" si="9"/>
        <v>1026.8359999999998</v>
      </c>
      <c r="R44" s="851"/>
      <c r="S44" s="851">
        <f t="shared" si="6"/>
        <v>0.11819841356079563</v>
      </c>
      <c r="T44" s="3306">
        <f t="shared" si="7"/>
        <v>-0.65115999999999996</v>
      </c>
    </row>
    <row r="45" spans="1:20">
      <c r="A45" s="537" t="s">
        <v>72</v>
      </c>
      <c r="B45" s="12" t="s">
        <v>73</v>
      </c>
      <c r="C45" s="3" t="s">
        <v>11</v>
      </c>
      <c r="D45" s="849">
        <v>273.83</v>
      </c>
      <c r="E45" s="849">
        <v>598.08000000000004</v>
      </c>
      <c r="F45" s="850">
        <v>0</v>
      </c>
      <c r="G45" s="851">
        <v>624.99</v>
      </c>
      <c r="H45" s="851">
        <f>'[11]Админ. расх. (2)'!O14</f>
        <v>263.36713000000003</v>
      </c>
      <c r="I45" s="851">
        <f>'[11]Админ. расх. (2)'!P14</f>
        <v>526.73426000000006</v>
      </c>
      <c r="J45" s="851">
        <f>'[11]Админ. расх. (2)'!Q14</f>
        <v>550.43730170000003</v>
      </c>
      <c r="K45" s="851">
        <f>'[11]Админ. расх. (2)'!R14</f>
        <v>0</v>
      </c>
      <c r="L45" s="851">
        <f>'[11]Админ. расх. (2)'!S14</f>
        <v>0</v>
      </c>
      <c r="M45" s="853"/>
      <c r="N45" s="854"/>
      <c r="O45" s="852"/>
      <c r="P45" s="851">
        <f>'[11]Админ. расх. (2)'!AB14</f>
        <v>187.14868257800003</v>
      </c>
      <c r="Q45" s="849">
        <f t="shared" si="9"/>
        <v>363.288619122</v>
      </c>
      <c r="R45" s="851"/>
      <c r="S45" s="851">
        <f t="shared" si="6"/>
        <v>-0.68708419847177638</v>
      </c>
      <c r="T45" s="3306">
        <f t="shared" si="7"/>
        <v>-0.64470000000000005</v>
      </c>
    </row>
    <row r="46" spans="1:20" ht="38.25">
      <c r="A46" s="537" t="s">
        <v>74</v>
      </c>
      <c r="B46" s="12" t="s">
        <v>1521</v>
      </c>
      <c r="C46" s="3" t="s">
        <v>11</v>
      </c>
      <c r="D46" s="849">
        <v>260.39999999999998</v>
      </c>
      <c r="E46" s="849">
        <v>266.52999999999997</v>
      </c>
      <c r="F46" s="850">
        <v>249.9</v>
      </c>
      <c r="G46" s="851">
        <v>278.52</v>
      </c>
      <c r="H46" s="851">
        <f>'[11]Админ. расх. (2)'!O15</f>
        <v>0</v>
      </c>
      <c r="I46" s="851">
        <f>'[11]Админ. расх. (2)'!P15*0.41</f>
        <v>0</v>
      </c>
      <c r="J46" s="852">
        <f>'[11]Админ. расх. (2)'!S15</f>
        <v>0</v>
      </c>
      <c r="K46" s="852">
        <f>'[11]Админ. расх. (2)'!V15</f>
        <v>0</v>
      </c>
      <c r="L46" s="852">
        <f>'[11]Админ. расх. (2)'!Y15</f>
        <v>0</v>
      </c>
      <c r="M46" s="853"/>
      <c r="N46" s="854"/>
      <c r="O46" s="852"/>
      <c r="P46" s="852">
        <f>'[11]Админ. расх. (2)'!AB15</f>
        <v>0</v>
      </c>
      <c r="Q46" s="849">
        <f t="shared" si="9"/>
        <v>0</v>
      </c>
      <c r="R46" s="852"/>
      <c r="S46" s="852"/>
      <c r="T46" s="852"/>
    </row>
    <row r="47" spans="1:20">
      <c r="A47" s="537" t="s">
        <v>76</v>
      </c>
      <c r="B47" s="12" t="s">
        <v>77</v>
      </c>
      <c r="C47" s="3" t="s">
        <v>11</v>
      </c>
      <c r="D47" s="849">
        <v>615.29999999999995</v>
      </c>
      <c r="E47" s="849">
        <v>589.16</v>
      </c>
      <c r="F47" s="850">
        <v>525.5</v>
      </c>
      <c r="G47" s="851">
        <v>615.66999999999996</v>
      </c>
      <c r="H47" s="851">
        <f>'[11]Админ. расх. (2)'!O16</f>
        <v>724.02088000000003</v>
      </c>
      <c r="I47" s="851">
        <f>'[11]Админ. расх. (2)'!P16*0.41</f>
        <v>593.69712159999995</v>
      </c>
      <c r="J47" s="852">
        <f>'[11]Админ. расх. (2)'!S16</f>
        <v>0</v>
      </c>
      <c r="K47" s="852">
        <f>'[11]Админ. расх. (2)'!V16</f>
        <v>0</v>
      </c>
      <c r="L47" s="852">
        <f>'[11]Админ. расх. (2)'!Y16</f>
        <v>0</v>
      </c>
      <c r="M47" s="853"/>
      <c r="N47" s="854"/>
      <c r="O47" s="852"/>
      <c r="P47" s="852">
        <f>'[11]Админ. расх. (2)'!AB16</f>
        <v>505.13488755840001</v>
      </c>
      <c r="Q47" s="849">
        <f t="shared" si="9"/>
        <v>-505.13488755840001</v>
      </c>
      <c r="R47" s="852"/>
      <c r="S47" s="852">
        <f t="shared" si="6"/>
        <v>-0.14261849487677369</v>
      </c>
      <c r="T47" s="852">
        <f t="shared" si="7"/>
        <v>-0.14917073170731698</v>
      </c>
    </row>
    <row r="48" spans="1:20" ht="26.25" thickBot="1">
      <c r="A48" s="1219" t="s">
        <v>78</v>
      </c>
      <c r="B48" s="150" t="s">
        <v>1836</v>
      </c>
      <c r="C48" s="152" t="s">
        <v>11</v>
      </c>
      <c r="D48" s="849"/>
      <c r="E48" s="858"/>
      <c r="F48" s="850"/>
      <c r="G48" s="851"/>
      <c r="H48" s="851"/>
      <c r="I48" s="851"/>
      <c r="J48" s="852"/>
      <c r="K48" s="852"/>
      <c r="L48" s="852"/>
      <c r="M48" s="853"/>
      <c r="N48" s="854"/>
      <c r="O48" s="852"/>
      <c r="P48" s="852">
        <f>'[11]Админ. расх. (2)'!AB18+'[11]Админ. расх. (2)'!AB19</f>
        <v>711.41600000000005</v>
      </c>
      <c r="Q48" s="849">
        <f t="shared" si="9"/>
        <v>-711.41600000000005</v>
      </c>
      <c r="R48" s="852"/>
      <c r="S48" s="852"/>
      <c r="T48" s="852"/>
    </row>
    <row r="49" spans="1:20" ht="65.25" thickTop="1" thickBot="1">
      <c r="A49" s="1220" t="s">
        <v>80</v>
      </c>
      <c r="B49" s="142" t="s">
        <v>81</v>
      </c>
      <c r="C49" s="144" t="s">
        <v>11</v>
      </c>
      <c r="D49" s="868">
        <f>D50+D51</f>
        <v>8716.68</v>
      </c>
      <c r="E49" s="868">
        <f t="shared" ref="E49:P49" si="16">E50+E51</f>
        <v>19693.560000000001</v>
      </c>
      <c r="F49" s="869">
        <f t="shared" si="16"/>
        <v>18038.18</v>
      </c>
      <c r="G49" s="864">
        <f t="shared" si="16"/>
        <v>21870.61</v>
      </c>
      <c r="H49" s="864">
        <f t="shared" si="16"/>
        <v>11763.341499</v>
      </c>
      <c r="I49" s="864">
        <f t="shared" si="16"/>
        <v>24588.16222695</v>
      </c>
      <c r="J49" s="864">
        <f t="shared" si="16"/>
        <v>26974.93989976275</v>
      </c>
      <c r="K49" s="864">
        <f t="shared" si="16"/>
        <v>28230.087305949546</v>
      </c>
      <c r="L49" s="864">
        <f t="shared" si="16"/>
        <v>29443.98106010538</v>
      </c>
      <c r="M49" s="864">
        <f t="shared" si="16"/>
        <v>0</v>
      </c>
      <c r="N49" s="864">
        <f t="shared" si="16"/>
        <v>0</v>
      </c>
      <c r="O49" s="864">
        <f t="shared" si="16"/>
        <v>0</v>
      </c>
      <c r="P49" s="864">
        <f t="shared" si="16"/>
        <v>19092.214294230529</v>
      </c>
      <c r="Q49" s="849">
        <f t="shared" si="9"/>
        <v>7882.7256055322214</v>
      </c>
      <c r="R49" s="864"/>
      <c r="S49" s="864">
        <f t="shared" si="6"/>
        <v>-3.0535144776742906E-2</v>
      </c>
      <c r="T49" s="3311">
        <f t="shared" si="7"/>
        <v>-0.22352007775089455</v>
      </c>
    </row>
    <row r="50" spans="1:20" ht="39" thickTop="1">
      <c r="A50" s="1218" t="s">
        <v>82</v>
      </c>
      <c r="B50" s="10" t="s">
        <v>83</v>
      </c>
      <c r="C50" s="3" t="s">
        <v>11</v>
      </c>
      <c r="D50" s="849">
        <v>6694.84</v>
      </c>
      <c r="E50" s="849">
        <v>15125.62</v>
      </c>
      <c r="F50" s="850">
        <v>13854.21</v>
      </c>
      <c r="G50" s="851">
        <v>16797.7</v>
      </c>
      <c r="H50" s="851">
        <f>'[11]Админ. расх. (2)'!O22</f>
        <v>9034.8245000000006</v>
      </c>
      <c r="I50" s="851">
        <f>'[11]Админ. расх. (2)'!P22</f>
        <v>18884.917225000001</v>
      </c>
      <c r="J50" s="851">
        <f>'[11]Админ. расх. (2)'!S22</f>
        <v>20718.079800125</v>
      </c>
      <c r="K50" s="851">
        <f>'[11]Админ. расх. (2)'!V22</f>
        <v>21682.094705030373</v>
      </c>
      <c r="L50" s="851">
        <f>'[11]Админ. расх. (2)'!X22</f>
        <v>22614.424777346681</v>
      </c>
      <c r="M50" s="853"/>
      <c r="N50" s="854"/>
      <c r="O50" s="852"/>
      <c r="P50" s="851">
        <f>'[11]Админ. расх. (2)'!AB22</f>
        <v>14463.7987077504</v>
      </c>
      <c r="Q50" s="849">
        <f t="shared" si="9"/>
        <v>6254.2810923746001</v>
      </c>
      <c r="R50" s="851"/>
      <c r="S50" s="851">
        <f t="shared" si="6"/>
        <v>-4.3754986060049128E-2</v>
      </c>
      <c r="T50" s="3306">
        <f t="shared" si="7"/>
        <v>-0.23410844032701872</v>
      </c>
    </row>
    <row r="51" spans="1:20" ht="51.75" thickBot="1">
      <c r="A51" s="1219" t="s">
        <v>85</v>
      </c>
      <c r="B51" s="150" t="s">
        <v>84</v>
      </c>
      <c r="C51" s="152" t="s">
        <v>11</v>
      </c>
      <c r="D51" s="849">
        <v>2021.84</v>
      </c>
      <c r="E51" s="849">
        <v>4567.9399999999996</v>
      </c>
      <c r="F51" s="896">
        <v>4183.97</v>
      </c>
      <c r="G51" s="897">
        <v>5072.91</v>
      </c>
      <c r="H51" s="851">
        <f>'[11]Админ. расх. (2)'!O40</f>
        <v>2728.5169989999999</v>
      </c>
      <c r="I51" s="851">
        <f>'[11]Админ. расх. (2)'!P40</f>
        <v>5703.2450019499993</v>
      </c>
      <c r="J51" s="851">
        <f>'[11]Админ. расх. (2)'!S40</f>
        <v>6256.8600996377509</v>
      </c>
      <c r="K51" s="851">
        <f>'[11]Админ. расх. (2)'!V40</f>
        <v>6547.9926009191722</v>
      </c>
      <c r="L51" s="851">
        <f>'[11]Админ. расх. (2)'!Y40</f>
        <v>6829.5562827586973</v>
      </c>
      <c r="M51" s="853"/>
      <c r="N51" s="898"/>
      <c r="O51" s="899"/>
      <c r="P51" s="851">
        <f>P50*0.32</f>
        <v>4628.4155864801278</v>
      </c>
      <c r="Q51" s="849">
        <f t="shared" si="9"/>
        <v>1628.4445131576231</v>
      </c>
      <c r="R51" s="851"/>
      <c r="S51" s="851">
        <f t="shared" si="6"/>
        <v>1.3239137659454503E-2</v>
      </c>
      <c r="T51" s="3306">
        <f t="shared" si="7"/>
        <v>-0.18845927451869526</v>
      </c>
    </row>
    <row r="52" spans="1:20" ht="69" thickTop="1" thickBot="1">
      <c r="A52" s="1220" t="s">
        <v>86</v>
      </c>
      <c r="B52" s="3321" t="s">
        <v>87</v>
      </c>
      <c r="C52" s="144" t="s">
        <v>11</v>
      </c>
      <c r="D52" s="972">
        <v>63</v>
      </c>
      <c r="E52" s="972">
        <v>24.6</v>
      </c>
      <c r="F52" s="973">
        <v>3.93</v>
      </c>
      <c r="G52" s="971">
        <v>25.71</v>
      </c>
      <c r="H52" s="971">
        <f>'[11]Админ. расх. (2)'!O43*0.41</f>
        <v>2.3615999999999997</v>
      </c>
      <c r="I52" s="971">
        <f>'[11]Админ. расх. (2)'!P43*0.41</f>
        <v>4.7231999999999994</v>
      </c>
      <c r="J52" s="969">
        <f>'[11]Админ. расх. (2)'!S43</f>
        <v>0</v>
      </c>
      <c r="K52" s="970">
        <f>'[11]Админ. расх. (2)'!V43</f>
        <v>0</v>
      </c>
      <c r="L52" s="971">
        <f>'[11]Админ. расх. (2)'!X43</f>
        <v>0</v>
      </c>
      <c r="M52" s="1366"/>
      <c r="N52" s="901"/>
      <c r="O52" s="900"/>
      <c r="P52" s="969">
        <f>'[11]Админ. расх. (2)'!AB43</f>
        <v>4.0930559999999998</v>
      </c>
      <c r="Q52" s="849">
        <f t="shared" si="9"/>
        <v>-4.0930559999999998</v>
      </c>
      <c r="R52" s="969"/>
      <c r="S52" s="969">
        <f t="shared" si="6"/>
        <v>-0.83361560975609761</v>
      </c>
      <c r="T52" s="969">
        <f t="shared" si="7"/>
        <v>-0.13341463414634136</v>
      </c>
    </row>
    <row r="53" spans="1:20" ht="30.75" customHeight="1" thickTop="1" thickBot="1">
      <c r="A53" s="1221" t="s">
        <v>88</v>
      </c>
      <c r="B53" s="142" t="s">
        <v>89</v>
      </c>
      <c r="C53" s="144" t="s">
        <v>11</v>
      </c>
      <c r="D53" s="972">
        <v>365.95</v>
      </c>
      <c r="E53" s="972">
        <v>347.61</v>
      </c>
      <c r="F53" s="973">
        <v>179.35</v>
      </c>
      <c r="G53" s="971">
        <v>363.25</v>
      </c>
      <c r="H53" s="971">
        <f>'[11]Админ. расх. (2)'!O44*0.41</f>
        <v>137.89820280000001</v>
      </c>
      <c r="I53" s="971">
        <f>'[11]Админ. расх. (2)'!P44*0.41</f>
        <v>275.79640560000001</v>
      </c>
      <c r="J53" s="969">
        <f>'[11]Админ. расх. (2)'!S44</f>
        <v>0</v>
      </c>
      <c r="K53" s="970">
        <f>'[11]Админ. расх. (2)'!V44</f>
        <v>0</v>
      </c>
      <c r="L53" s="971">
        <f>'[11]Админ. расх. (2)'!X44</f>
        <v>0</v>
      </c>
      <c r="M53" s="1364"/>
      <c r="N53" s="901"/>
      <c r="O53" s="900"/>
      <c r="P53" s="969">
        <f>'[11]Админ. расх. (2)'!AB44</f>
        <v>184.18752000000003</v>
      </c>
      <c r="Q53" s="849">
        <f t="shared" si="9"/>
        <v>-184.18752000000003</v>
      </c>
      <c r="R53" s="969"/>
      <c r="S53" s="969">
        <f t="shared" si="6"/>
        <v>-0.47013169931820131</v>
      </c>
      <c r="T53" s="969">
        <f t="shared" si="7"/>
        <v>-0.33216127454853228</v>
      </c>
    </row>
    <row r="54" spans="1:20" ht="16.5" thickTop="1" thickBot="1">
      <c r="A54" s="1221" t="s">
        <v>90</v>
      </c>
      <c r="B54" s="142" t="s">
        <v>91</v>
      </c>
      <c r="C54" s="144" t="s">
        <v>11</v>
      </c>
      <c r="D54" s="972">
        <v>385.36</v>
      </c>
      <c r="E54" s="972">
        <v>206.24</v>
      </c>
      <c r="F54" s="973">
        <v>552.4</v>
      </c>
      <c r="G54" s="971">
        <v>215.52</v>
      </c>
      <c r="H54" s="971">
        <f>'[11]Админ. расх. (2)'!O45*0.41</f>
        <v>249.25129999999996</v>
      </c>
      <c r="I54" s="971">
        <f>'[11]Админ. расх. (2)'!P45*0.41</f>
        <v>498.50259999999992</v>
      </c>
      <c r="J54" s="969">
        <f>'[11]Админ. расх. (2)'!S45</f>
        <v>0</v>
      </c>
      <c r="K54" s="970">
        <f>'[11]Админ. расх. (2)'!V45</f>
        <v>0</v>
      </c>
      <c r="L54" s="971">
        <f>'[11]Админ. расх. (2)'!Y45</f>
        <v>0</v>
      </c>
      <c r="M54" s="1364"/>
      <c r="N54" s="901"/>
      <c r="O54" s="900"/>
      <c r="P54" s="969">
        <f>'[11]Админ. расх. (2)'!AB45</f>
        <v>192.69921600000001</v>
      </c>
      <c r="Q54" s="849">
        <f t="shared" si="9"/>
        <v>-192.69921600000001</v>
      </c>
      <c r="R54" s="969"/>
      <c r="S54" s="969">
        <f t="shared" si="6"/>
        <v>-6.5655469356090013E-2</v>
      </c>
      <c r="T54" s="969">
        <f t="shared" si="7"/>
        <v>-0.61344390982113217</v>
      </c>
    </row>
    <row r="55" spans="1:20" ht="27" thickTop="1" thickBot="1">
      <c r="A55" s="1221" t="s">
        <v>92</v>
      </c>
      <c r="B55" s="142" t="s">
        <v>93</v>
      </c>
      <c r="C55" s="144" t="s">
        <v>11</v>
      </c>
      <c r="D55" s="972">
        <v>94.4</v>
      </c>
      <c r="E55" s="972">
        <v>99.63</v>
      </c>
      <c r="F55" s="973">
        <v>45.9</v>
      </c>
      <c r="G55" s="971">
        <v>104.12</v>
      </c>
      <c r="H55" s="971">
        <f>'[11]Админ. расх. (2)'!O46*0.41</f>
        <v>20.419361200000001</v>
      </c>
      <c r="I55" s="971">
        <f>'[11]Админ. расх. (2)'!P46*0.41</f>
        <v>40.838722400000002</v>
      </c>
      <c r="J55" s="969">
        <f>'[11]Админ. расх. (2)'!S46</f>
        <v>0</v>
      </c>
      <c r="K55" s="970">
        <f>'[11]Админ. расх. (2)'!V46</f>
        <v>0</v>
      </c>
      <c r="L55" s="971">
        <f>'[11]Админ. расх. (2)'!Y46</f>
        <v>0</v>
      </c>
      <c r="M55" s="1364"/>
      <c r="N55" s="901"/>
      <c r="O55" s="900"/>
      <c r="P55" s="969">
        <f>'[11]Админ. расх. (2)'!AB46</f>
        <v>35.390239192000003</v>
      </c>
      <c r="Q55" s="849">
        <f t="shared" si="9"/>
        <v>-35.390239192000003</v>
      </c>
      <c r="R55" s="969"/>
      <c r="S55" s="969">
        <f t="shared" si="6"/>
        <v>-0.64478330631335945</v>
      </c>
      <c r="T55" s="969">
        <f t="shared" si="7"/>
        <v>-0.13341463414634147</v>
      </c>
    </row>
    <row r="56" spans="1:20" ht="27" thickTop="1" thickBot="1">
      <c r="A56" s="1360" t="s">
        <v>94</v>
      </c>
      <c r="B56" s="1361" t="s">
        <v>95</v>
      </c>
      <c r="C56" s="1362" t="s">
        <v>11</v>
      </c>
      <c r="D56" s="972">
        <f>D57+D58</f>
        <v>5600</v>
      </c>
      <c r="E56" s="972">
        <f t="shared" ref="E56:L56" si="17">E57+E58</f>
        <v>4833.13</v>
      </c>
      <c r="F56" s="972">
        <f t="shared" si="17"/>
        <v>4938.5599999999995</v>
      </c>
      <c r="G56" s="972">
        <v>5654.2</v>
      </c>
      <c r="H56" s="972">
        <f t="shared" ref="H56:K56" si="18">H57+H58</f>
        <v>3130.7468635999999</v>
      </c>
      <c r="I56" s="972">
        <f t="shared" si="18"/>
        <v>6261.4937271999997</v>
      </c>
      <c r="J56" s="972">
        <f t="shared" si="18"/>
        <v>0</v>
      </c>
      <c r="K56" s="972">
        <f t="shared" si="18"/>
        <v>0</v>
      </c>
      <c r="L56" s="972">
        <f t="shared" si="17"/>
        <v>0</v>
      </c>
      <c r="M56" s="1363"/>
      <c r="N56" s="1363"/>
      <c r="O56" s="1363"/>
      <c r="P56" s="972">
        <f>'[11]Админ. расх. (2)'!AB47</f>
        <v>1353.7234026530791</v>
      </c>
      <c r="Q56" s="849">
        <f t="shared" si="9"/>
        <v>-1353.7234026530791</v>
      </c>
      <c r="R56" s="972"/>
      <c r="S56" s="972">
        <f t="shared" si="6"/>
        <v>-0.71990751280162568</v>
      </c>
      <c r="T56" s="3322">
        <f t="shared" si="7"/>
        <v>-0.78380184319717683</v>
      </c>
    </row>
    <row r="57" spans="1:20" ht="24" customHeight="1" thickTop="1" thickBot="1">
      <c r="A57" s="1277" t="s">
        <v>96</v>
      </c>
      <c r="B57" s="281" t="s">
        <v>1837</v>
      </c>
      <c r="C57" s="384" t="s">
        <v>11</v>
      </c>
      <c r="D57" s="1272"/>
      <c r="E57" s="1272"/>
      <c r="F57" s="1273">
        <v>34.4</v>
      </c>
      <c r="G57" s="1791">
        <v>197.44</v>
      </c>
      <c r="H57" s="1791">
        <f>('[11]Админ. расх. (2)'!O48+'[11]Админ. расх. (2)'!O49)*0.41</f>
        <v>414.62806360000002</v>
      </c>
      <c r="I57" s="1791">
        <f>('[11]Админ. расх. (2)'!P48+'[11]Админ. расх. (2)'!P49)*0.41</f>
        <v>829.25612720000004</v>
      </c>
      <c r="J57" s="1792">
        <f>'[11]Админ. расх. (2)'!S48+'[11]Админ. расх. (2)'!S49</f>
        <v>0</v>
      </c>
      <c r="K57" s="1272">
        <f>'[11]Админ. расх. (2)'!V48+'[11]Админ. расх. (2)'!V49</f>
        <v>0</v>
      </c>
      <c r="L57" s="1272">
        <f>'[11]Админ. расх. (2)'!Y48+'[11]Админ. расх. (2)'!Y49</f>
        <v>0</v>
      </c>
      <c r="M57" s="1365"/>
      <c r="N57" s="1276"/>
      <c r="O57" s="1276"/>
      <c r="P57" s="1792">
        <v>0</v>
      </c>
      <c r="Q57" s="849" t="s">
        <v>1838</v>
      </c>
      <c r="R57" s="1792"/>
      <c r="S57" s="1792"/>
      <c r="T57" s="1792"/>
    </row>
    <row r="58" spans="1:20" ht="27" thickTop="1" thickBot="1">
      <c r="A58" s="1277" t="s">
        <v>97</v>
      </c>
      <c r="B58" s="219" t="s">
        <v>98</v>
      </c>
      <c r="C58" s="384" t="s">
        <v>11</v>
      </c>
      <c r="D58" s="1272">
        <v>5600</v>
      </c>
      <c r="E58" s="1272">
        <v>4833.13</v>
      </c>
      <c r="F58" s="1273">
        <v>4904.16</v>
      </c>
      <c r="G58" s="1791">
        <v>5456.76</v>
      </c>
      <c r="H58" s="1791">
        <f>'[11]Админ. расх. (2)'!O53*0.41</f>
        <v>2716.1187999999997</v>
      </c>
      <c r="I58" s="1791">
        <f>'[11]Админ. расх. (2)'!P53*0.41</f>
        <v>5432.2375999999995</v>
      </c>
      <c r="J58" s="1792">
        <f>'[11]Админ. расх. (2)'!S53</f>
        <v>0</v>
      </c>
      <c r="K58" s="1272">
        <f>'[11]Админ. расх. (2)'!V53</f>
        <v>0</v>
      </c>
      <c r="L58" s="1272">
        <f>'[11]Админ. расх. (2)'!Y53</f>
        <v>0</v>
      </c>
      <c r="M58" s="1365"/>
      <c r="N58" s="1276"/>
      <c r="O58" s="1276"/>
      <c r="P58" s="1792">
        <f>'[11]Админ. расх. (2)'!AB53</f>
        <v>4707.4972000000007</v>
      </c>
      <c r="Q58" s="849">
        <f t="shared" si="9"/>
        <v>-4707.4972000000007</v>
      </c>
      <c r="R58" s="1792"/>
      <c r="S58" s="1792">
        <f t="shared" si="6"/>
        <v>-2.5994086647783021E-2</v>
      </c>
      <c r="T58" s="1792">
        <f t="shared" si="7"/>
        <v>-0.13341470925351251</v>
      </c>
    </row>
    <row r="59" spans="1:20" ht="26.25" hidden="1" thickTop="1">
      <c r="A59" s="1277" t="s">
        <v>543</v>
      </c>
      <c r="B59" s="281" t="s">
        <v>542</v>
      </c>
      <c r="C59" s="384" t="s">
        <v>11</v>
      </c>
      <c r="D59" s="1272" t="e">
        <f>#REF!*0.42</f>
        <v>#REF!</v>
      </c>
      <c r="E59" s="1272" t="e">
        <f>#REF!*0.42</f>
        <v>#REF!</v>
      </c>
      <c r="F59" s="1273"/>
      <c r="G59" s="1274"/>
      <c r="H59" s="1274"/>
      <c r="I59" s="1274"/>
      <c r="J59" s="1272"/>
      <c r="K59" s="1272"/>
      <c r="L59" s="1272"/>
      <c r="M59" s="1275"/>
      <c r="N59" s="1276"/>
      <c r="O59" s="1278"/>
      <c r="P59" s="1272"/>
      <c r="Q59" s="849">
        <f t="shared" si="9"/>
        <v>0</v>
      </c>
      <c r="R59" s="1272"/>
      <c r="S59" s="1272" t="e">
        <f t="shared" si="6"/>
        <v>#REF!</v>
      </c>
      <c r="T59" s="3323" t="e">
        <f t="shared" si="7"/>
        <v>#DIV/0!</v>
      </c>
    </row>
    <row r="60" spans="1:20" ht="31.5" thickTop="1" thickBot="1">
      <c r="A60" s="350" t="s">
        <v>99</v>
      </c>
      <c r="B60" s="1267" t="s">
        <v>100</v>
      </c>
      <c r="C60" s="1267" t="s">
        <v>11</v>
      </c>
      <c r="D60" s="1268">
        <f>D61</f>
        <v>0</v>
      </c>
      <c r="E60" s="1268">
        <f t="shared" ref="E60:F60" si="19">E61</f>
        <v>3164.8359999999998</v>
      </c>
      <c r="F60" s="1268">
        <f t="shared" si="19"/>
        <v>3100</v>
      </c>
      <c r="G60" s="1268">
        <f>'[11]расшифровки ВО_2016'!G497</f>
        <v>3307.2536199999995</v>
      </c>
      <c r="H60" s="1268">
        <f>'[11]сбытовые расходы'!H13/2/1000</f>
        <v>1653.6268099999998</v>
      </c>
      <c r="I60" s="1268">
        <f>'[11]сбытовые расходы'!H13/1000</f>
        <v>3307.2536199999995</v>
      </c>
      <c r="J60" s="1268">
        <f>'[11]расшифровки ВО_2016'!J497</f>
        <v>3449.4655256599995</v>
      </c>
      <c r="K60" s="1268">
        <f>'[11]расшифровки ВО_2016'!K497</f>
        <v>3597.7925432633792</v>
      </c>
      <c r="L60" s="1268">
        <f>'[11]расшифровки ВО_2016'!L497</f>
        <v>3597.7925432633792</v>
      </c>
      <c r="M60" s="1268">
        <f>'[11]расшифровки ВО_2016'!M497</f>
        <v>3449.4655256599995</v>
      </c>
      <c r="N60" s="1268">
        <f>'[11]расшифровки ВО_2016'!N497</f>
        <v>3597.7925432633792</v>
      </c>
      <c r="O60" s="1268">
        <f>'[11]расшифровки ВО_2016'!O497</f>
        <v>3597.7925432633792</v>
      </c>
      <c r="P60" s="1268">
        <f>'[11]расшифровки ВО_2016'!P497</f>
        <v>0</v>
      </c>
      <c r="Q60" s="849">
        <f t="shared" si="9"/>
        <v>3449.4655256599995</v>
      </c>
      <c r="R60" s="1268"/>
      <c r="S60" s="1268">
        <f t="shared" si="6"/>
        <v>-1</v>
      </c>
      <c r="T60" s="3324">
        <f t="shared" si="7"/>
        <v>-1</v>
      </c>
    </row>
    <row r="61" spans="1:20" ht="39" thickBot="1">
      <c r="A61" s="1222" t="s">
        <v>101</v>
      </c>
      <c r="B61" s="196" t="s">
        <v>102</v>
      </c>
      <c r="C61" s="197" t="s">
        <v>11</v>
      </c>
      <c r="D61" s="967">
        <f>'[11]расшифровки ВО_2016'!D497</f>
        <v>0</v>
      </c>
      <c r="E61" s="967">
        <f>'[11]сбытовые расходы'!G13/1000</f>
        <v>3164.8359999999998</v>
      </c>
      <c r="F61" s="967">
        <v>3100</v>
      </c>
      <c r="G61" s="967">
        <f>'[11]сбытовые расходы'!H13/1000</f>
        <v>3307.2536199999995</v>
      </c>
      <c r="H61" s="967">
        <f>'[11]сбытовые расходы'!H13/2/1000</f>
        <v>1653.6268099999998</v>
      </c>
      <c r="I61" s="967">
        <f>'[11]сбытовые расходы'!H13/1000</f>
        <v>3307.2536199999995</v>
      </c>
      <c r="J61" s="967">
        <f>'[11]расшифровки ВО_2016'!J497</f>
        <v>3449.4655256599995</v>
      </c>
      <c r="K61" s="967">
        <f>'[11]расшифровки ВО_2016'!K497</f>
        <v>3597.7925432633792</v>
      </c>
      <c r="L61" s="967">
        <f>'[11]расшифровки ВО_2016'!L497</f>
        <v>3597.7925432633792</v>
      </c>
      <c r="M61" s="905"/>
      <c r="N61" s="906"/>
      <c r="O61" s="907"/>
      <c r="P61" s="967">
        <f>3449.47</f>
        <v>3449.47</v>
      </c>
      <c r="Q61" s="849">
        <f t="shared" si="9"/>
        <v>-4.4743400003426359E-3</v>
      </c>
      <c r="R61" s="967"/>
      <c r="S61" s="967">
        <f t="shared" si="6"/>
        <v>8.9936413766779744E-2</v>
      </c>
      <c r="T61" s="3325">
        <f t="shared" si="7"/>
        <v>4.3001352886870681E-2</v>
      </c>
    </row>
    <row r="62" spans="1:20" ht="15.75" thickBot="1">
      <c r="A62" s="24" t="s">
        <v>103</v>
      </c>
      <c r="B62" s="7" t="s">
        <v>104</v>
      </c>
      <c r="C62" s="7" t="s">
        <v>11</v>
      </c>
      <c r="D62" s="968">
        <f t="shared" ref="D62:P62" si="20">D63</f>
        <v>22892</v>
      </c>
      <c r="E62" s="968">
        <f t="shared" si="20"/>
        <v>33784.004999999997</v>
      </c>
      <c r="F62" s="974">
        <f t="shared" si="20"/>
        <v>29290</v>
      </c>
      <c r="G62" s="975">
        <f t="shared" si="20"/>
        <v>60340.37004999999</v>
      </c>
      <c r="H62" s="975">
        <f t="shared" si="20"/>
        <v>15527.570000000002</v>
      </c>
      <c r="I62" s="975">
        <f t="shared" si="20"/>
        <v>31210.415700000001</v>
      </c>
      <c r="J62" s="975">
        <f t="shared" si="20"/>
        <v>41126.863845</v>
      </c>
      <c r="K62" s="975">
        <f t="shared" si="20"/>
        <v>69815.529024999996</v>
      </c>
      <c r="L62" s="975">
        <f t="shared" si="20"/>
        <v>119156.89571999999</v>
      </c>
      <c r="M62" s="975">
        <f t="shared" si="20"/>
        <v>0</v>
      </c>
      <c r="N62" s="975">
        <f t="shared" si="20"/>
        <v>0</v>
      </c>
      <c r="O62" s="975">
        <f t="shared" si="20"/>
        <v>0</v>
      </c>
      <c r="P62" s="975">
        <f t="shared" si="20"/>
        <v>46479.11</v>
      </c>
      <c r="Q62" s="849">
        <f t="shared" si="9"/>
        <v>-5352.2461550000007</v>
      </c>
      <c r="R62" s="975"/>
      <c r="S62" s="975">
        <f t="shared" si="6"/>
        <v>0.3757726474407046</v>
      </c>
      <c r="T62" s="3326">
        <f t="shared" si="7"/>
        <v>0.48921790875089166</v>
      </c>
    </row>
    <row r="63" spans="1:20" ht="79.5" customHeight="1" thickBot="1">
      <c r="A63" s="1222" t="s">
        <v>105</v>
      </c>
      <c r="B63" s="3327" t="s">
        <v>1839</v>
      </c>
      <c r="C63" s="197" t="s">
        <v>11</v>
      </c>
      <c r="D63" s="911">
        <v>22892</v>
      </c>
      <c r="E63" s="911">
        <f>'[11]расшифровки ВО_2016'!E413+'[11]расшифровки ВО_2016'!E414+'[11]расшифровки ВО_2016'!E415</f>
        <v>33784.004999999997</v>
      </c>
      <c r="F63" s="911">
        <v>29290</v>
      </c>
      <c r="G63" s="911">
        <f>'[11]расшифровки ВО_2016'!G413+'[11]расшифровки ВО_2016'!G414+'[11]расшифровки ВО_2016'!G415+'[11]расшифровки ВО_2016'!G417</f>
        <v>60340.37004999999</v>
      </c>
      <c r="H63" s="911">
        <f>'[11]расшифровки ВО_2016'!H413+'[11]расшифровки ВО_2016'!H414+'[11]расшифровки ВО_2016'!H415</f>
        <v>15527.570000000002</v>
      </c>
      <c r="I63" s="911">
        <f>'[11]расшифровки ВО_2016'!I413+'[11]расшифровки ВО_2016'!I414+'[11]расшифровки ВО_2016'!I415</f>
        <v>31210.415700000001</v>
      </c>
      <c r="J63" s="911">
        <f>'[11]расшифровки ВО_2016'!J413+'[11]расшифровки ВО_2016'!J414+'[11]расшифровки ВО_2016'!J415</f>
        <v>41126.863845</v>
      </c>
      <c r="K63" s="911">
        <f>'[11]расшифровки ВО_2016'!K413+'[11]расшифровки ВО_2016'!K414+'[11]расшифровки ВО_2016'!K415</f>
        <v>69815.529024999996</v>
      </c>
      <c r="L63" s="911">
        <f>'[11]расшифровки ВО_2016'!L413+'[11]расшифровки ВО_2016'!L414+'[11]расшифровки ВО_2016'!L415</f>
        <v>119156.89571999999</v>
      </c>
      <c r="M63" s="913"/>
      <c r="N63" s="914"/>
      <c r="O63" s="912"/>
      <c r="P63" s="911">
        <v>46479.11</v>
      </c>
      <c r="Q63" s="849">
        <f t="shared" si="9"/>
        <v>-5352.2461550000007</v>
      </c>
      <c r="R63" s="911"/>
      <c r="S63" s="911">
        <f t="shared" si="6"/>
        <v>0.3757726474407046</v>
      </c>
      <c r="T63" s="3328">
        <f t="shared" si="7"/>
        <v>0.48921790875089166</v>
      </c>
    </row>
    <row r="64" spans="1:20" ht="45.75" hidden="1" thickBot="1">
      <c r="A64" s="29" t="s">
        <v>106</v>
      </c>
      <c r="B64" s="31" t="s">
        <v>107</v>
      </c>
      <c r="C64" s="30" t="s">
        <v>11</v>
      </c>
      <c r="D64" s="908">
        <f t="shared" ref="D64:L64" si="21">D65+D66+D67+D68</f>
        <v>0</v>
      </c>
      <c r="E64" s="908">
        <f t="shared" si="21"/>
        <v>0</v>
      </c>
      <c r="F64" s="909">
        <f t="shared" si="21"/>
        <v>0</v>
      </c>
      <c r="G64" s="910">
        <f t="shared" si="21"/>
        <v>0</v>
      </c>
      <c r="H64" s="910">
        <f t="shared" si="21"/>
        <v>0</v>
      </c>
      <c r="I64" s="910">
        <f t="shared" si="21"/>
        <v>0</v>
      </c>
      <c r="J64" s="910">
        <f t="shared" si="21"/>
        <v>0</v>
      </c>
      <c r="K64" s="910">
        <f t="shared" si="21"/>
        <v>0</v>
      </c>
      <c r="L64" s="910">
        <f t="shared" si="21"/>
        <v>0</v>
      </c>
      <c r="M64" s="902"/>
      <c r="N64" s="903"/>
      <c r="O64" s="904"/>
      <c r="P64" s="910"/>
      <c r="Q64" s="849">
        <f t="shared" si="9"/>
        <v>0</v>
      </c>
      <c r="R64" s="910"/>
      <c r="S64" s="910"/>
      <c r="T64" s="3329"/>
    </row>
    <row r="65" spans="1:20" ht="15.75" hidden="1" thickBot="1">
      <c r="A65" s="1223" t="s">
        <v>108</v>
      </c>
      <c r="B65" s="139" t="s">
        <v>109</v>
      </c>
      <c r="C65" s="199" t="s">
        <v>11</v>
      </c>
      <c r="D65" s="915">
        <v>0</v>
      </c>
      <c r="E65" s="915">
        <f>'[11]расшифровки ВО_2016'!E436</f>
        <v>0</v>
      </c>
      <c r="F65" s="916">
        <f>'[11]расшифровки ВО_2016'!F436</f>
        <v>0</v>
      </c>
      <c r="G65" s="917">
        <f>'[11]расшифровки ВО_2016'!G436</f>
        <v>0</v>
      </c>
      <c r="H65" s="917">
        <f>'[11]расшифровки ВО_2016'!H436</f>
        <v>0</v>
      </c>
      <c r="I65" s="917">
        <f>'[11]расшифровки ВО_2016'!I436</f>
        <v>0</v>
      </c>
      <c r="J65" s="918">
        <v>0</v>
      </c>
      <c r="K65" s="918">
        <v>0</v>
      </c>
      <c r="L65" s="918">
        <v>0</v>
      </c>
      <c r="M65" s="919"/>
      <c r="N65" s="920"/>
      <c r="O65" s="918"/>
      <c r="P65" s="918"/>
      <c r="Q65" s="849">
        <f t="shared" si="9"/>
        <v>0</v>
      </c>
      <c r="R65" s="918"/>
      <c r="S65" s="918" t="e">
        <f t="shared" si="6"/>
        <v>#DIV/0!</v>
      </c>
      <c r="T65" s="918" t="e">
        <f t="shared" si="7"/>
        <v>#DIV/0!</v>
      </c>
    </row>
    <row r="66" spans="1:20" ht="16.5" hidden="1" thickTop="1" thickBot="1">
      <c r="A66" s="1221" t="s">
        <v>110</v>
      </c>
      <c r="B66" s="142" t="s">
        <v>111</v>
      </c>
      <c r="C66" s="200" t="s">
        <v>11</v>
      </c>
      <c r="D66" s="915">
        <f>'[11]расшифровки ВО_2016'!D437</f>
        <v>0</v>
      </c>
      <c r="E66" s="915">
        <f>'[11]расшифровки ВО_2016'!E437</f>
        <v>0</v>
      </c>
      <c r="F66" s="916">
        <f>'[11]расшифровки ВО_2016'!F437</f>
        <v>0</v>
      </c>
      <c r="G66" s="917">
        <f>'[11]расшифровки ВО_2016'!G437</f>
        <v>0</v>
      </c>
      <c r="H66" s="917">
        <f>'[11]расшифровки ВО_2016'!H437</f>
        <v>0</v>
      </c>
      <c r="I66" s="917">
        <f>'[11]расшифровки ВО_2016'!I437</f>
        <v>0</v>
      </c>
      <c r="J66" s="918">
        <v>0</v>
      </c>
      <c r="K66" s="918">
        <v>0</v>
      </c>
      <c r="L66" s="918">
        <v>0</v>
      </c>
      <c r="M66" s="919"/>
      <c r="N66" s="920"/>
      <c r="O66" s="918"/>
      <c r="P66" s="918"/>
      <c r="Q66" s="849">
        <f t="shared" si="9"/>
        <v>0</v>
      </c>
      <c r="R66" s="918"/>
      <c r="S66" s="918" t="e">
        <f t="shared" si="6"/>
        <v>#DIV/0!</v>
      </c>
      <c r="T66" s="918" t="e">
        <f t="shared" si="7"/>
        <v>#DIV/0!</v>
      </c>
    </row>
    <row r="67" spans="1:20" ht="16.5" hidden="1" thickTop="1" thickBot="1">
      <c r="A67" s="1221" t="s">
        <v>112</v>
      </c>
      <c r="B67" s="142" t="s">
        <v>113</v>
      </c>
      <c r="C67" s="200" t="s">
        <v>11</v>
      </c>
      <c r="D67" s="915">
        <f>'[11]расшифровки ВО_2016'!D438</f>
        <v>0</v>
      </c>
      <c r="E67" s="915">
        <f>'[11]расшифровки ВО_2016'!E438</f>
        <v>0</v>
      </c>
      <c r="F67" s="916">
        <f>'[11]расшифровки ВО_2016'!F438</f>
        <v>0</v>
      </c>
      <c r="G67" s="917">
        <f>'[11]расшифровки ВО_2016'!G438</f>
        <v>0</v>
      </c>
      <c r="H67" s="917">
        <f>'[11]расшифровки ВО_2016'!H438</f>
        <v>0</v>
      </c>
      <c r="I67" s="917">
        <f>'[11]расшифровки ВО_2016'!I438</f>
        <v>0</v>
      </c>
      <c r="J67" s="918">
        <v>0</v>
      </c>
      <c r="K67" s="918">
        <v>0</v>
      </c>
      <c r="L67" s="918">
        <v>0</v>
      </c>
      <c r="M67" s="919"/>
      <c r="N67" s="920"/>
      <c r="O67" s="918"/>
      <c r="P67" s="918"/>
      <c r="Q67" s="849">
        <f t="shared" si="9"/>
        <v>0</v>
      </c>
      <c r="R67" s="918"/>
      <c r="S67" s="918" t="e">
        <f t="shared" si="6"/>
        <v>#DIV/0!</v>
      </c>
      <c r="T67" s="918" t="e">
        <f t="shared" si="7"/>
        <v>#DIV/0!</v>
      </c>
    </row>
    <row r="68" spans="1:20" ht="15.75" hidden="1" thickBot="1">
      <c r="A68" s="1224" t="s">
        <v>114</v>
      </c>
      <c r="B68" s="196" t="s">
        <v>115</v>
      </c>
      <c r="C68" s="202" t="s">
        <v>11</v>
      </c>
      <c r="D68" s="915">
        <f>'[11]расшифровки ВО_2016'!D439</f>
        <v>0</v>
      </c>
      <c r="E68" s="915">
        <f>'[11]расшифровки ВО_2016'!E439</f>
        <v>0</v>
      </c>
      <c r="F68" s="916">
        <f>'[11]расшифровки ВО_2016'!F439</f>
        <v>0</v>
      </c>
      <c r="G68" s="917">
        <f>'[11]расшифровки ВО_2016'!G439</f>
        <v>0</v>
      </c>
      <c r="H68" s="917">
        <f>'[11]расшифровки ВО_2016'!H439</f>
        <v>0</v>
      </c>
      <c r="I68" s="917">
        <f>'[11]расшифровки ВО_2016'!I439</f>
        <v>0</v>
      </c>
      <c r="J68" s="918">
        <v>0</v>
      </c>
      <c r="K68" s="918">
        <v>0</v>
      </c>
      <c r="L68" s="918">
        <v>0</v>
      </c>
      <c r="M68" s="919"/>
      <c r="N68" s="920"/>
      <c r="O68" s="918"/>
      <c r="P68" s="918"/>
      <c r="Q68" s="849">
        <f t="shared" si="9"/>
        <v>0</v>
      </c>
      <c r="R68" s="918"/>
      <c r="S68" s="918" t="e">
        <f t="shared" si="6"/>
        <v>#DIV/0!</v>
      </c>
      <c r="T68" s="918" t="e">
        <f t="shared" si="7"/>
        <v>#DIV/0!</v>
      </c>
    </row>
    <row r="69" spans="1:20" ht="31.5" customHeight="1" thickBot="1">
      <c r="A69" s="170" t="s">
        <v>116</v>
      </c>
      <c r="B69" s="31" t="s">
        <v>117</v>
      </c>
      <c r="C69" s="1398" t="s">
        <v>11</v>
      </c>
      <c r="D69" s="1399">
        <f>SUM(D70:D75)</f>
        <v>14808.484912000002</v>
      </c>
      <c r="E69" s="1399">
        <f>SUM(E70:E75)</f>
        <v>13536.307879999998</v>
      </c>
      <c r="F69" s="1400">
        <f>SUM(F70:F75)+0.34</f>
        <v>17018.75</v>
      </c>
      <c r="G69" s="1401">
        <f>SUM(G70:G75)</f>
        <v>14014.248263999998</v>
      </c>
      <c r="H69" s="1401">
        <f>SUM(H70:H75)</f>
        <v>7689.1007711999991</v>
      </c>
      <c r="I69" s="1401">
        <f>SUM(I70:I75)</f>
        <v>22336.229348066667</v>
      </c>
      <c r="J69" s="1401">
        <f t="shared" ref="J69:P69" si="22">SUM(J70:J75)</f>
        <v>51753.20993528</v>
      </c>
      <c r="K69" s="1401">
        <f t="shared" si="22"/>
        <v>52299.822748811835</v>
      </c>
      <c r="L69" s="1401">
        <f t="shared" si="22"/>
        <v>52871.093995604948</v>
      </c>
      <c r="M69" s="1401">
        <f t="shared" si="22"/>
        <v>0</v>
      </c>
      <c r="N69" s="1401">
        <f t="shared" si="22"/>
        <v>0</v>
      </c>
      <c r="O69" s="1401">
        <f t="shared" si="22"/>
        <v>0</v>
      </c>
      <c r="P69" s="1401">
        <f t="shared" si="22"/>
        <v>21363</v>
      </c>
      <c r="Q69" s="849">
        <f t="shared" si="9"/>
        <v>30390.20993528</v>
      </c>
      <c r="R69" s="1401"/>
      <c r="S69" s="1401">
        <f t="shared" si="6"/>
        <v>0.5781999190166176</v>
      </c>
      <c r="T69" s="3330">
        <f t="shared" si="7"/>
        <v>-4.3571783442083345E-2</v>
      </c>
    </row>
    <row r="70" spans="1:20" ht="16.5" thickTop="1" thickBot="1">
      <c r="A70" s="1221" t="s">
        <v>118</v>
      </c>
      <c r="B70" s="203" t="s">
        <v>119</v>
      </c>
      <c r="C70" s="200" t="s">
        <v>11</v>
      </c>
      <c r="D70" s="922">
        <f>'[11]расшифровки ВО_2016'!D460</f>
        <v>10000</v>
      </c>
      <c r="E70" s="922">
        <f>[11]налоги!C112</f>
        <v>9287.7976799999997</v>
      </c>
      <c r="F70" s="922">
        <f>'[11]расшифровки ВО_2016'!F460</f>
        <v>10000</v>
      </c>
      <c r="G70" s="922">
        <f>'[11]расшифровки ВО_2016'!G460</f>
        <v>9752.1875639999998</v>
      </c>
      <c r="H70" s="922">
        <f>'[11]расшифровки ВО_2016'!H460</f>
        <v>4381.9133759999995</v>
      </c>
      <c r="I70" s="922">
        <f>'[11]расшифровки ВО_2016'!I460</f>
        <v>15721.854557666666</v>
      </c>
      <c r="J70" s="922">
        <f>'[11]расшифровки ВО_2016'!J460</f>
        <v>45072.691396975999</v>
      </c>
      <c r="K70" s="922">
        <f>'[11]расшифровки ВО_2016'!K460</f>
        <v>45552.499025124802</v>
      </c>
      <c r="L70" s="922">
        <f>'[11]расшифровки ВО_2016'!L460</f>
        <v>46056.29703468104</v>
      </c>
      <c r="M70" s="924"/>
      <c r="N70" s="925"/>
      <c r="O70" s="923"/>
      <c r="P70" s="922">
        <v>15722</v>
      </c>
      <c r="Q70" s="849">
        <f t="shared" si="9"/>
        <v>29350.691396975999</v>
      </c>
      <c r="R70" s="922"/>
      <c r="S70" s="922">
        <f t="shared" si="6"/>
        <v>0.69275866482914172</v>
      </c>
      <c r="T70" s="3331">
        <f t="shared" si="7"/>
        <v>9.250965450791071E-6</v>
      </c>
    </row>
    <row r="71" spans="1:20" ht="27" thickTop="1" thickBot="1">
      <c r="A71" s="1221" t="s">
        <v>120</v>
      </c>
      <c r="B71" s="204" t="s">
        <v>121</v>
      </c>
      <c r="C71" s="200" t="s">
        <v>11</v>
      </c>
      <c r="D71" s="922">
        <f>'[11]расшифровки ВО_2016'!D461-0.87</f>
        <v>417.01</v>
      </c>
      <c r="E71" s="922">
        <v>0</v>
      </c>
      <c r="F71" s="922">
        <f>'[11]расшифровки ВО_2016'!F461</f>
        <v>1475.41</v>
      </c>
      <c r="G71" s="922">
        <f>'[11]расшифровки ВО_2016'!G461</f>
        <v>0</v>
      </c>
      <c r="H71" s="922">
        <f>'[11]расшифровки ВО_2016'!H461</f>
        <v>0</v>
      </c>
      <c r="I71" s="922">
        <f>'[11]расшифровки ВО_2016'!I461</f>
        <v>0</v>
      </c>
      <c r="J71" s="922">
        <f>'[11]расшифровки ВО_2016'!L461</f>
        <v>0</v>
      </c>
      <c r="K71" s="922">
        <f>'[11]расшифровки ВО_2016'!M461</f>
        <v>0</v>
      </c>
      <c r="L71" s="922">
        <f>'[11]расшифровки ВО_2016'!N461</f>
        <v>0</v>
      </c>
      <c r="M71" s="924"/>
      <c r="N71" s="925"/>
      <c r="O71" s="923"/>
      <c r="P71" s="922">
        <v>0</v>
      </c>
      <c r="Q71" s="849">
        <f t="shared" si="9"/>
        <v>0</v>
      </c>
      <c r="R71" s="922"/>
      <c r="S71" s="922"/>
      <c r="T71" s="3331"/>
    </row>
    <row r="72" spans="1:20" ht="37.5" customHeight="1" thickTop="1" thickBot="1">
      <c r="A72" s="1221" t="s">
        <v>122</v>
      </c>
      <c r="B72" s="204" t="s">
        <v>123</v>
      </c>
      <c r="C72" s="200" t="s">
        <v>11</v>
      </c>
      <c r="D72" s="922">
        <f>'[11]расшифровки ВО_2016'!D462-0.18</f>
        <v>2309.9960000000001</v>
      </c>
      <c r="E72" s="922"/>
      <c r="F72" s="922">
        <v>0</v>
      </c>
      <c r="G72" s="922">
        <f>'[11]расшифровки ВО_2016'!G462</f>
        <v>0</v>
      </c>
      <c r="H72" s="922">
        <f>'[11]расшифровки ВО_2016'!H462</f>
        <v>0</v>
      </c>
      <c r="I72" s="922">
        <f>'[11]расшифровки ВО_2016'!I462</f>
        <v>0</v>
      </c>
      <c r="J72" s="922">
        <f>'[11]расшифровки ВО_2016'!J462</f>
        <v>0</v>
      </c>
      <c r="K72" s="922">
        <f>'[11]расшифровки ВО_2016'!K462</f>
        <v>0</v>
      </c>
      <c r="L72" s="922">
        <f>'[11]расшифровки ВО_2016'!L462</f>
        <v>0</v>
      </c>
      <c r="M72" s="924"/>
      <c r="N72" s="925"/>
      <c r="O72" s="923"/>
      <c r="P72" s="922"/>
      <c r="Q72" s="849">
        <f t="shared" si="9"/>
        <v>0</v>
      </c>
      <c r="R72" s="922"/>
      <c r="S72" s="922"/>
      <c r="T72" s="3331"/>
    </row>
    <row r="73" spans="1:20" ht="16.5" thickTop="1" thickBot="1">
      <c r="A73" s="1221" t="s">
        <v>124</v>
      </c>
      <c r="B73" s="203" t="s">
        <v>629</v>
      </c>
      <c r="C73" s="200" t="s">
        <v>11</v>
      </c>
      <c r="D73" s="922">
        <f>'[11]расшифровки ВО_2016'!D465</f>
        <v>1893.318912</v>
      </c>
      <c r="E73" s="922">
        <f>[11]налоги!C120</f>
        <v>3977.5001999999995</v>
      </c>
      <c r="F73" s="922">
        <f>'[11]расшифровки ВО_2016'!F465</f>
        <v>5326</v>
      </c>
      <c r="G73" s="922">
        <f>'[11]расшифровки ВО_2016'!G465</f>
        <v>3977.5001999999995</v>
      </c>
      <c r="H73" s="922">
        <f>'[11]расшифровки ВО_2016'!H465</f>
        <v>3151.2009599999997</v>
      </c>
      <c r="I73" s="922">
        <f>'[11]расшифровки ВО_2016'!I465</f>
        <v>6302.4019199999993</v>
      </c>
      <c r="J73" s="922">
        <f>'[11]расшифровки ВО_2016'!J465</f>
        <v>6365.4259391999994</v>
      </c>
      <c r="K73" s="922">
        <f>'[11]расшифровки ВО_2016'!K465</f>
        <v>6429.0801985919998</v>
      </c>
      <c r="L73" s="922">
        <f>'[11]расшифровки ВО_2016'!L465</f>
        <v>6493.3710005779203</v>
      </c>
      <c r="M73" s="924"/>
      <c r="N73" s="925"/>
      <c r="O73" s="923"/>
      <c r="P73" s="922">
        <v>5326</v>
      </c>
      <c r="Q73" s="849">
        <f t="shared" si="9"/>
        <v>1039.4259391999994</v>
      </c>
      <c r="R73" s="922"/>
      <c r="S73" s="922">
        <f t="shared" si="6"/>
        <v>0.33903198798079281</v>
      </c>
      <c r="T73" s="3331">
        <f t="shared" si="7"/>
        <v>-0.15492536534388457</v>
      </c>
    </row>
    <row r="74" spans="1:20" ht="16.5" thickTop="1" thickBot="1">
      <c r="A74" s="1221" t="s">
        <v>126</v>
      </c>
      <c r="B74" s="203" t="s">
        <v>127</v>
      </c>
      <c r="C74" s="200" t="s">
        <v>11</v>
      </c>
      <c r="D74" s="922">
        <f>'[11]расшифровки ВО_2016'!D466</f>
        <v>188.16</v>
      </c>
      <c r="E74" s="922">
        <f>'[11]расшифровки ВО_2016'!E467</f>
        <v>271.01</v>
      </c>
      <c r="F74" s="922">
        <f>'[11]расшифровки ВО_2016'!F466</f>
        <v>217</v>
      </c>
      <c r="G74" s="922">
        <f>'[11]расшифровки ВО_2016'!G466</f>
        <v>284.56049999999999</v>
      </c>
      <c r="H74" s="922">
        <f>'[11]расшифровки ВО_2016'!H466</f>
        <v>155.98643519999999</v>
      </c>
      <c r="I74" s="922">
        <f>'[11]расшифровки ВО_2016'!I466</f>
        <v>311.97287039999998</v>
      </c>
      <c r="J74" s="922">
        <f>'[11]расшифровки ВО_2016'!J466</f>
        <v>315.09259910399999</v>
      </c>
      <c r="K74" s="922">
        <f>'[11]расшифровки ВО_2016'!K466</f>
        <v>318.24352509504001</v>
      </c>
      <c r="L74" s="922">
        <f>'[11]расшифровки ВО_2016'!L466</f>
        <v>321.42596034599035</v>
      </c>
      <c r="M74" s="924"/>
      <c r="N74" s="925"/>
      <c r="O74" s="923"/>
      <c r="P74" s="922">
        <v>315</v>
      </c>
      <c r="Q74" s="849">
        <f t="shared" si="9"/>
        <v>9.2599103999987165E-2</v>
      </c>
      <c r="R74" s="922"/>
      <c r="S74" s="922">
        <f t="shared" si="6"/>
        <v>0.16231873362606541</v>
      </c>
      <c r="T74" s="3331">
        <f t="shared" si="7"/>
        <v>9.7031821905499971E-3</v>
      </c>
    </row>
    <row r="75" spans="1:20" ht="73.5" hidden="1" thickTop="1" thickBot="1">
      <c r="A75" s="1225" t="s">
        <v>128</v>
      </c>
      <c r="B75" s="2838" t="s">
        <v>129</v>
      </c>
      <c r="C75" s="206" t="s">
        <v>11</v>
      </c>
      <c r="D75" s="922">
        <f>'[11]расшифровки ВО_2016'!D471</f>
        <v>0</v>
      </c>
      <c r="E75" s="922">
        <f>'[11]расшифровки ВО_2016'!E471</f>
        <v>0</v>
      </c>
      <c r="F75" s="922">
        <v>0</v>
      </c>
      <c r="G75" s="922">
        <f>'[11]расшифровки ВО_2016'!G471</f>
        <v>0</v>
      </c>
      <c r="H75" s="922">
        <f>'[11]расшифровки ВО_2016'!H471</f>
        <v>0</v>
      </c>
      <c r="I75" s="922">
        <f>'[11]расшифровки ВО_2016'!I471</f>
        <v>0</v>
      </c>
      <c r="J75" s="922">
        <f>'[11]расшифровки ВО_2016'!L471</f>
        <v>0</v>
      </c>
      <c r="K75" s="922">
        <f>'[11]расшифровки ВО_2016'!M471</f>
        <v>0</v>
      </c>
      <c r="L75" s="922">
        <f>'[11]расшифровки ВО_2016'!N471</f>
        <v>0</v>
      </c>
      <c r="M75" s="924"/>
      <c r="N75" s="925"/>
      <c r="O75" s="923"/>
      <c r="P75" s="922"/>
      <c r="Q75" s="849">
        <f t="shared" si="9"/>
        <v>0</v>
      </c>
      <c r="R75" s="922"/>
      <c r="S75" s="922" t="e">
        <f t="shared" si="6"/>
        <v>#DIV/0!</v>
      </c>
      <c r="T75" s="3331" t="e">
        <f t="shared" si="7"/>
        <v>#DIV/0!</v>
      </c>
    </row>
    <row r="76" spans="1:20" ht="16.5" hidden="1" customHeight="1" thickTop="1" thickBot="1">
      <c r="A76" s="3414" t="s">
        <v>966</v>
      </c>
      <c r="B76" s="1240" t="s">
        <v>964</v>
      </c>
      <c r="C76" s="1242" t="s">
        <v>11</v>
      </c>
      <c r="D76" s="1241">
        <v>0</v>
      </c>
      <c r="E76" s="1237"/>
      <c r="F76" s="1237">
        <v>0</v>
      </c>
      <c r="G76" s="1237"/>
      <c r="H76" s="1237"/>
      <c r="I76" s="1237"/>
      <c r="J76" s="1237"/>
      <c r="K76" s="1237"/>
      <c r="L76" s="1237"/>
      <c r="M76" s="1238"/>
      <c r="N76" s="1238"/>
      <c r="O76" s="1239"/>
      <c r="P76" s="1237"/>
      <c r="Q76" s="849">
        <f t="shared" si="9"/>
        <v>0</v>
      </c>
      <c r="R76" s="1237"/>
      <c r="S76" s="1237" t="e">
        <f t="shared" ref="S76:S98" si="23">P76/E76-1</f>
        <v>#DIV/0!</v>
      </c>
      <c r="T76" s="3332" t="e">
        <f t="shared" ref="T76:T98" si="24">P76/I76-1</f>
        <v>#DIV/0!</v>
      </c>
    </row>
    <row r="77" spans="1:20" ht="16.5" hidden="1" thickTop="1" thickBot="1">
      <c r="A77" s="3415"/>
      <c r="B77" s="1240" t="s">
        <v>965</v>
      </c>
      <c r="C77" s="1242" t="s">
        <v>11</v>
      </c>
      <c r="D77" s="1241">
        <v>0</v>
      </c>
      <c r="E77" s="1237"/>
      <c r="F77" s="1237">
        <v>0</v>
      </c>
      <c r="G77" s="1237"/>
      <c r="H77" s="1237"/>
      <c r="I77" s="1237"/>
      <c r="J77" s="1237"/>
      <c r="K77" s="1237"/>
      <c r="L77" s="1237"/>
      <c r="M77" s="1238"/>
      <c r="N77" s="1238"/>
      <c r="O77" s="1239"/>
      <c r="P77" s="1237"/>
      <c r="Q77" s="849">
        <f t="shared" si="9"/>
        <v>0</v>
      </c>
      <c r="R77" s="1237"/>
      <c r="S77" s="1237" t="e">
        <f t="shared" si="23"/>
        <v>#DIV/0!</v>
      </c>
      <c r="T77" s="3332" t="e">
        <f t="shared" si="24"/>
        <v>#DIV/0!</v>
      </c>
    </row>
    <row r="78" spans="1:20" ht="39.75" thickTop="1" thickBot="1">
      <c r="A78" s="3298"/>
      <c r="B78" s="1240" t="s">
        <v>1540</v>
      </c>
      <c r="C78" s="2444"/>
      <c r="D78" s="1241"/>
      <c r="E78" s="1237"/>
      <c r="F78" s="1237"/>
      <c r="G78" s="1237"/>
      <c r="H78" s="1237">
        <f>243461.24/2+80342.21/2</f>
        <v>161901.72500000001</v>
      </c>
      <c r="I78" s="1237">
        <f>243461.24+80342.212</f>
        <v>323803.45199999999</v>
      </c>
      <c r="J78" s="1237">
        <v>323803.45</v>
      </c>
      <c r="K78" s="1237"/>
      <c r="L78" s="1237"/>
      <c r="M78" s="1237"/>
      <c r="N78" s="1237"/>
      <c r="O78" s="1237"/>
      <c r="P78" s="1237"/>
      <c r="Q78" s="3314" t="s">
        <v>1840</v>
      </c>
      <c r="R78" s="1237"/>
      <c r="S78" s="1237"/>
      <c r="T78" s="3332"/>
    </row>
    <row r="79" spans="1:20" ht="19.5" thickBot="1">
      <c r="A79" s="352"/>
      <c r="B79" s="354" t="s">
        <v>510</v>
      </c>
      <c r="C79" s="353" t="s">
        <v>11</v>
      </c>
      <c r="D79" s="926">
        <f>D10+D34+D40+D60+D62+D64+D69+D76+D77+D78</f>
        <v>280448.8814022399</v>
      </c>
      <c r="E79" s="926">
        <f t="shared" ref="E79:O79" si="25">E10+E34+E40+E60+E62+E64+E69+E76+E77+E78</f>
        <v>303051.52242510999</v>
      </c>
      <c r="F79" s="926">
        <f t="shared" si="25"/>
        <v>396037.02002020704</v>
      </c>
      <c r="G79" s="926">
        <f t="shared" si="25"/>
        <v>420576.13408469886</v>
      </c>
      <c r="H79" s="926">
        <f t="shared" si="25"/>
        <v>331622.6844156041</v>
      </c>
      <c r="I79" s="926">
        <f t="shared" si="25"/>
        <v>731985.4963528777</v>
      </c>
      <c r="J79" s="926">
        <f t="shared" si="25"/>
        <v>912157.48036397458</v>
      </c>
      <c r="K79" s="926">
        <f t="shared" si="25"/>
        <v>589606.87023111817</v>
      </c>
      <c r="L79" s="926">
        <f t="shared" si="25"/>
        <v>640241.55097229593</v>
      </c>
      <c r="M79" s="926">
        <f t="shared" si="25"/>
        <v>179669.5111585409</v>
      </c>
      <c r="N79" s="926" t="e">
        <f t="shared" si="25"/>
        <v>#VALUE!</v>
      </c>
      <c r="O79" s="926">
        <f t="shared" si="25"/>
        <v>34093.190486369262</v>
      </c>
      <c r="P79" s="926">
        <f>P10+P34+P40+P60+P62+P64+P69+P76+P77+P78-8079.12</f>
        <v>439335.2061890015</v>
      </c>
      <c r="Q79" s="926">
        <f>J79-P79</f>
        <v>472822.27417497308</v>
      </c>
      <c r="R79" s="926"/>
      <c r="S79" s="926">
        <f t="shared" si="23"/>
        <v>0.4497046663000015</v>
      </c>
      <c r="T79" s="3333">
        <f t="shared" si="24"/>
        <v>-0.39980339996080261</v>
      </c>
    </row>
    <row r="80" spans="1:20" ht="15.75" thickBot="1">
      <c r="A80" s="350" t="s">
        <v>130</v>
      </c>
      <c r="B80" s="351" t="s">
        <v>131</v>
      </c>
      <c r="C80" s="351" t="s">
        <v>11</v>
      </c>
      <c r="D80" s="929">
        <v>16980.5</v>
      </c>
      <c r="E80" s="929">
        <f t="shared" ref="E80:L80" si="26">SUM(E82:E87)</f>
        <v>13136.2666727533</v>
      </c>
      <c r="F80" s="929">
        <f t="shared" si="26"/>
        <v>16348.869999999999</v>
      </c>
      <c r="G80" s="929">
        <f t="shared" si="26"/>
        <v>17219.050141451371</v>
      </c>
      <c r="H80" s="929">
        <f t="shared" ref="H80:I80" si="27">SUM(H82:H87)</f>
        <v>14258.620968978148</v>
      </c>
      <c r="I80" s="929">
        <f t="shared" si="27"/>
        <v>28554.763649856402</v>
      </c>
      <c r="J80" s="929">
        <f t="shared" si="26"/>
        <v>34937.777424303844</v>
      </c>
      <c r="K80" s="929">
        <f t="shared" si="26"/>
        <v>31946.941769095851</v>
      </c>
      <c r="L80" s="929">
        <f t="shared" si="26"/>
        <v>30640.729938016615</v>
      </c>
      <c r="M80" s="931"/>
      <c r="N80" s="930"/>
      <c r="O80" s="1226"/>
      <c r="P80" s="929">
        <v>9245</v>
      </c>
      <c r="Q80" s="849">
        <f t="shared" si="9"/>
        <v>25692.777424303844</v>
      </c>
      <c r="R80" s="929">
        <f>R79-P79</f>
        <v>-439335.2061890015</v>
      </c>
      <c r="S80" s="929">
        <f t="shared" si="23"/>
        <v>-0.29622317890549554</v>
      </c>
      <c r="T80" s="1226">
        <f t="shared" si="24"/>
        <v>-0.67623615753350874</v>
      </c>
    </row>
    <row r="81" spans="1:20" ht="15.75" hidden="1" thickBot="1">
      <c r="A81" s="1227"/>
      <c r="B81" s="159"/>
      <c r="C81" s="159"/>
      <c r="D81" s="1201"/>
      <c r="E81" s="1201"/>
      <c r="F81" s="1201"/>
      <c r="G81" s="1201"/>
      <c r="H81" s="1201"/>
      <c r="I81" s="1201"/>
      <c r="J81" s="1201"/>
      <c r="K81" s="1201"/>
      <c r="L81" s="1201"/>
      <c r="M81" s="1203"/>
      <c r="N81" s="1202"/>
      <c r="O81" s="1228"/>
      <c r="P81" s="1201"/>
      <c r="Q81" s="849">
        <f t="shared" ref="Q81:Q101" si="28">J81-P81</f>
        <v>0</v>
      </c>
      <c r="R81" s="1201"/>
      <c r="S81" s="1201" t="e">
        <f t="shared" si="23"/>
        <v>#DIV/0!</v>
      </c>
      <c r="T81" s="3334" t="e">
        <f t="shared" si="24"/>
        <v>#DIV/0!</v>
      </c>
    </row>
    <row r="82" spans="1:20" ht="15.75" thickBot="1">
      <c r="A82" s="1229" t="s">
        <v>132</v>
      </c>
      <c r="B82" s="329" t="s">
        <v>505</v>
      </c>
      <c r="C82" s="328" t="s">
        <v>11</v>
      </c>
      <c r="D82" s="932">
        <v>0</v>
      </c>
      <c r="E82" s="932">
        <v>2410.83</v>
      </c>
      <c r="F82" s="932">
        <v>2724.81</v>
      </c>
      <c r="G82" s="933">
        <v>2869.8416589104017</v>
      </c>
      <c r="H82" s="933">
        <v>2376.4368365100249</v>
      </c>
      <c r="I82" s="933">
        <v>4759.358831670067</v>
      </c>
      <c r="J82" s="934">
        <v>5763.1919526846004</v>
      </c>
      <c r="K82" s="935">
        <v>7359.3921788877042</v>
      </c>
      <c r="L82" s="933">
        <v>6903.6616599371209</v>
      </c>
      <c r="M82" s="936"/>
      <c r="N82" s="937"/>
      <c r="O82" s="934"/>
      <c r="P82" s="934">
        <f>P80*0.2</f>
        <v>1849</v>
      </c>
      <c r="Q82" s="849">
        <f t="shared" si="28"/>
        <v>3914.1919526846004</v>
      </c>
      <c r="R82" s="934"/>
      <c r="S82" s="934">
        <f t="shared" si="23"/>
        <v>-0.23304422128478575</v>
      </c>
      <c r="T82" s="934">
        <f t="shared" si="24"/>
        <v>-0.61150229150694591</v>
      </c>
    </row>
    <row r="83" spans="1:20" ht="26.25" hidden="1" thickBot="1">
      <c r="A83" s="1230" t="s">
        <v>134</v>
      </c>
      <c r="B83" s="718" t="s">
        <v>133</v>
      </c>
      <c r="C83" s="719" t="s">
        <v>11</v>
      </c>
      <c r="D83" s="976"/>
      <c r="E83" s="976"/>
      <c r="F83" s="976"/>
      <c r="G83" s="977"/>
      <c r="H83" s="977"/>
      <c r="I83" s="977"/>
      <c r="J83" s="977"/>
      <c r="K83" s="977"/>
      <c r="L83" s="977"/>
      <c r="M83" s="943"/>
      <c r="N83" s="944"/>
      <c r="O83" s="941"/>
      <c r="P83" s="977"/>
      <c r="Q83" s="977">
        <f t="shared" si="28"/>
        <v>0</v>
      </c>
      <c r="R83" s="977"/>
      <c r="S83" s="977" t="e">
        <f t="shared" si="23"/>
        <v>#DIV/0!</v>
      </c>
      <c r="T83" s="3335" t="e">
        <f t="shared" si="24"/>
        <v>#DIV/0!</v>
      </c>
    </row>
    <row r="84" spans="1:20" ht="16.5" thickTop="1" thickBot="1">
      <c r="A84" s="1221" t="s">
        <v>135</v>
      </c>
      <c r="B84" s="203" t="s">
        <v>136</v>
      </c>
      <c r="C84" s="200" t="s">
        <v>11</v>
      </c>
      <c r="D84" s="945">
        <f>[11]Кап.вложения!E25</f>
        <v>0</v>
      </c>
      <c r="E84" s="945">
        <f>[11]Кап.вложения!F25</f>
        <v>0</v>
      </c>
      <c r="F84" s="945">
        <v>0</v>
      </c>
      <c r="G84" s="945">
        <f>[11]Кап.вложения!H25</f>
        <v>0</v>
      </c>
      <c r="H84" s="945">
        <v>0</v>
      </c>
      <c r="I84" s="945">
        <f>[11]Кап.вложения!J25</f>
        <v>0</v>
      </c>
      <c r="J84" s="945">
        <v>0</v>
      </c>
      <c r="K84" s="945">
        <f>[11]Кап.вложения!J25</f>
        <v>0</v>
      </c>
      <c r="L84" s="945">
        <f>[11]Кап.вложения!K25</f>
        <v>0</v>
      </c>
      <c r="M84" s="950"/>
      <c r="N84" s="951"/>
      <c r="O84" s="948"/>
      <c r="P84" s="945"/>
      <c r="Q84" s="945">
        <f t="shared" si="28"/>
        <v>0</v>
      </c>
      <c r="R84" s="945"/>
      <c r="S84" s="945"/>
      <c r="T84" s="3336"/>
    </row>
    <row r="85" spans="1:20" ht="65.25" thickTop="1" thickBot="1">
      <c r="A85" s="1231" t="s">
        <v>138</v>
      </c>
      <c r="B85" s="209" t="s">
        <v>137</v>
      </c>
      <c r="C85" s="210" t="s">
        <v>11</v>
      </c>
      <c r="D85" s="641">
        <v>16980.5</v>
      </c>
      <c r="E85" s="641">
        <f>3985.1*0.41</f>
        <v>1633.8909999999998</v>
      </c>
      <c r="F85" s="641">
        <v>1824.06</v>
      </c>
      <c r="G85" s="641">
        <f>E85*1.06</f>
        <v>1731.92446</v>
      </c>
      <c r="H85" s="641">
        <f>F85*1.06</f>
        <v>1933.5036</v>
      </c>
      <c r="I85" s="641">
        <f>G85*1.06</f>
        <v>1835.8399276</v>
      </c>
      <c r="J85" s="641">
        <f>G85*1.045</f>
        <v>1809.8610606999998</v>
      </c>
      <c r="K85" s="641">
        <f>J85*1.043</f>
        <v>1887.6850863100997</v>
      </c>
      <c r="L85" s="642">
        <f>K85*1.043</f>
        <v>1968.8555450214337</v>
      </c>
      <c r="M85" s="950"/>
      <c r="N85" s="951"/>
      <c r="O85" s="948"/>
      <c r="P85" s="641">
        <v>1809.86</v>
      </c>
      <c r="Q85" s="641">
        <f t="shared" si="28"/>
        <v>1.0606999999254185E-3</v>
      </c>
      <c r="R85" s="641"/>
      <c r="S85" s="641">
        <f t="shared" si="23"/>
        <v>0.10769935081348758</v>
      </c>
      <c r="T85" s="642">
        <f t="shared" si="24"/>
        <v>-1.4151521169911474E-2</v>
      </c>
    </row>
    <row r="86" spans="1:20" ht="65.25" hidden="1" thickTop="1" thickBot="1">
      <c r="A86" s="1220" t="s">
        <v>139</v>
      </c>
      <c r="B86" s="204" t="s">
        <v>145</v>
      </c>
      <c r="C86" s="210" t="s">
        <v>11</v>
      </c>
      <c r="D86" s="945"/>
      <c r="E86" s="945"/>
      <c r="F86" s="946"/>
      <c r="G86" s="947"/>
      <c r="H86" s="947"/>
      <c r="I86" s="947"/>
      <c r="J86" s="948"/>
      <c r="K86" s="949"/>
      <c r="L86" s="947"/>
      <c r="M86" s="950"/>
      <c r="N86" s="951"/>
      <c r="O86" s="948"/>
      <c r="P86" s="948"/>
      <c r="Q86" s="948">
        <f t="shared" si="28"/>
        <v>0</v>
      </c>
      <c r="R86" s="948"/>
      <c r="S86" s="948" t="e">
        <f t="shared" si="23"/>
        <v>#DIV/0!</v>
      </c>
      <c r="T86" s="948" t="e">
        <f t="shared" si="24"/>
        <v>#DIV/0!</v>
      </c>
    </row>
    <row r="87" spans="1:20" ht="52.5" thickTop="1" thickBot="1">
      <c r="A87" s="1225" t="s">
        <v>139</v>
      </c>
      <c r="B87" s="205" t="s">
        <v>952</v>
      </c>
      <c r="C87" s="211" t="s">
        <v>11</v>
      </c>
      <c r="D87" s="952"/>
      <c r="E87" s="952">
        <f t="shared" ref="E87:J87" si="29">E79*3/100</f>
        <v>9091.5456727533001</v>
      </c>
      <c r="F87" s="952">
        <v>11800</v>
      </c>
      <c r="G87" s="952">
        <f t="shared" si="29"/>
        <v>12617.284022540967</v>
      </c>
      <c r="H87" s="952">
        <f t="shared" si="29"/>
        <v>9948.6805324681227</v>
      </c>
      <c r="I87" s="952">
        <f t="shared" si="29"/>
        <v>21959.564890586335</v>
      </c>
      <c r="J87" s="952">
        <f t="shared" si="29"/>
        <v>27364.72441091924</v>
      </c>
      <c r="K87" s="952">
        <f>K79*3.85/100</f>
        <v>22699.864503898047</v>
      </c>
      <c r="L87" s="952">
        <f>L79*3.4/100</f>
        <v>21768.212733058059</v>
      </c>
      <c r="M87" s="953"/>
      <c r="N87" s="954"/>
      <c r="O87" s="955"/>
      <c r="P87" s="952">
        <f>P80-P85</f>
        <v>7435.14</v>
      </c>
      <c r="Q87" s="952">
        <f t="shared" si="28"/>
        <v>19929.58441091924</v>
      </c>
      <c r="R87" s="952"/>
      <c r="S87" s="952">
        <f t="shared" si="23"/>
        <v>-0.18219186619910266</v>
      </c>
      <c r="T87" s="3337">
        <f t="shared" si="24"/>
        <v>-0.66141678867292542</v>
      </c>
    </row>
    <row r="88" spans="1:20" ht="26.25" hidden="1" thickBot="1">
      <c r="A88" s="167" t="s">
        <v>141</v>
      </c>
      <c r="B88" s="168" t="s">
        <v>386</v>
      </c>
      <c r="C88" s="28" t="s">
        <v>11</v>
      </c>
      <c r="D88" s="956">
        <f t="shared" ref="D88:L88" si="30">SUM(D89:D91)</f>
        <v>0</v>
      </c>
      <c r="E88" s="956">
        <f t="shared" si="30"/>
        <v>0</v>
      </c>
      <c r="F88" s="956">
        <f t="shared" si="30"/>
        <v>0</v>
      </c>
      <c r="G88" s="956">
        <f t="shared" si="30"/>
        <v>0</v>
      </c>
      <c r="H88" s="956">
        <f t="shared" ref="H88:I88" si="31">SUM(H89:H91)</f>
        <v>0</v>
      </c>
      <c r="I88" s="956">
        <f t="shared" si="31"/>
        <v>0</v>
      </c>
      <c r="J88" s="956"/>
      <c r="K88" s="956">
        <f t="shared" si="30"/>
        <v>0</v>
      </c>
      <c r="L88" s="956">
        <f t="shared" si="30"/>
        <v>0</v>
      </c>
      <c r="M88" s="959"/>
      <c r="N88" s="960"/>
      <c r="O88" s="958"/>
      <c r="P88" s="956"/>
      <c r="Q88" s="956">
        <f t="shared" si="28"/>
        <v>0</v>
      </c>
      <c r="R88" s="956">
        <v>0</v>
      </c>
      <c r="S88" s="956"/>
      <c r="T88" s="3338"/>
    </row>
    <row r="89" spans="1:20" ht="77.25" hidden="1" thickBot="1">
      <c r="A89" s="1232" t="s">
        <v>377</v>
      </c>
      <c r="B89" s="207" t="s">
        <v>378</v>
      </c>
      <c r="C89" s="212" t="s">
        <v>11</v>
      </c>
      <c r="D89" s="938"/>
      <c r="E89" s="938"/>
      <c r="F89" s="939"/>
      <c r="G89" s="940"/>
      <c r="H89" s="940"/>
      <c r="I89" s="940"/>
      <c r="J89" s="941"/>
      <c r="K89" s="942"/>
      <c r="L89" s="940"/>
      <c r="M89" s="943"/>
      <c r="N89" s="961"/>
      <c r="O89" s="941"/>
      <c r="P89" s="941"/>
      <c r="Q89" s="941">
        <f t="shared" si="28"/>
        <v>0</v>
      </c>
      <c r="R89" s="941"/>
      <c r="S89" s="941" t="e">
        <f t="shared" si="23"/>
        <v>#DIV/0!</v>
      </c>
      <c r="T89" s="941" t="e">
        <f t="shared" si="24"/>
        <v>#DIV/0!</v>
      </c>
    </row>
    <row r="90" spans="1:20" ht="56.25" hidden="1" customHeight="1" thickTop="1">
      <c r="A90" s="1371" t="s">
        <v>379</v>
      </c>
      <c r="B90" s="1372" t="s">
        <v>1310</v>
      </c>
      <c r="C90" s="1373" t="s">
        <v>11</v>
      </c>
      <c r="D90" s="1374">
        <v>0</v>
      </c>
      <c r="E90" s="1374"/>
      <c r="F90" s="1375"/>
      <c r="G90" s="1281">
        <v>0</v>
      </c>
      <c r="H90" s="1281">
        <v>0</v>
      </c>
      <c r="I90" s="1281">
        <v>0</v>
      </c>
      <c r="J90" s="1279">
        <v>2971.36</v>
      </c>
      <c r="K90" s="1280"/>
      <c r="L90" s="1281"/>
      <c r="M90" s="1376"/>
      <c r="N90" s="1377"/>
      <c r="O90" s="1279"/>
      <c r="P90" s="1279"/>
      <c r="Q90" s="1279">
        <f t="shared" si="28"/>
        <v>2971.36</v>
      </c>
      <c r="R90" s="1279"/>
      <c r="S90" s="1279" t="e">
        <f t="shared" si="23"/>
        <v>#DIV/0!</v>
      </c>
      <c r="T90" s="1279" t="e">
        <f t="shared" si="24"/>
        <v>#DIV/0!</v>
      </c>
    </row>
    <row r="91" spans="1:20" ht="53.25" hidden="1" customHeight="1">
      <c r="A91" s="3339" t="s">
        <v>381</v>
      </c>
      <c r="B91" s="1378" t="s">
        <v>382</v>
      </c>
      <c r="C91" s="1379" t="s">
        <v>11</v>
      </c>
      <c r="D91" s="1367"/>
      <c r="E91" s="1367"/>
      <c r="F91" s="1368"/>
      <c r="G91" s="1367"/>
      <c r="H91" s="1367"/>
      <c r="I91" s="1367"/>
      <c r="J91" s="1367"/>
      <c r="K91" s="1367"/>
      <c r="L91" s="1367"/>
      <c r="M91" s="1368"/>
      <c r="N91" s="1367"/>
      <c r="O91" s="1367"/>
      <c r="P91" s="1367"/>
      <c r="Q91" s="1367">
        <f t="shared" si="28"/>
        <v>0</v>
      </c>
      <c r="R91" s="1367"/>
      <c r="S91" s="1367" t="e">
        <f t="shared" si="23"/>
        <v>#DIV/0!</v>
      </c>
      <c r="T91" s="3340" t="e">
        <f t="shared" si="24"/>
        <v>#DIV/0!</v>
      </c>
    </row>
    <row r="92" spans="1:20" ht="25.5" hidden="1">
      <c r="A92" s="3339" t="s">
        <v>1028</v>
      </c>
      <c r="B92" s="1378" t="s">
        <v>1029</v>
      </c>
      <c r="C92" s="1379" t="s">
        <v>11</v>
      </c>
      <c r="D92" s="1367">
        <v>0</v>
      </c>
      <c r="E92" s="1367"/>
      <c r="F92" s="1368"/>
      <c r="G92" s="1367"/>
      <c r="H92" s="1367"/>
      <c r="I92" s="1367"/>
      <c r="J92" s="1367"/>
      <c r="K92" s="1367"/>
      <c r="L92" s="1367"/>
      <c r="M92" s="1368"/>
      <c r="N92" s="1367"/>
      <c r="O92" s="1367"/>
      <c r="P92" s="1367"/>
      <c r="Q92" s="1367">
        <f t="shared" si="28"/>
        <v>0</v>
      </c>
      <c r="R92" s="1367"/>
      <c r="S92" s="1367" t="e">
        <f t="shared" si="23"/>
        <v>#DIV/0!</v>
      </c>
      <c r="T92" s="3340" t="e">
        <f t="shared" si="24"/>
        <v>#DIV/0!</v>
      </c>
    </row>
    <row r="93" spans="1:20" ht="15.75" thickBot="1">
      <c r="A93" s="1332"/>
      <c r="B93" s="1789" t="s">
        <v>142</v>
      </c>
      <c r="C93" s="1334" t="s">
        <v>11</v>
      </c>
      <c r="D93" s="497">
        <f>D88+D80+D79</f>
        <v>297429.3814022399</v>
      </c>
      <c r="E93" s="497">
        <f>E88+E80+E79</f>
        <v>316187.78909786331</v>
      </c>
      <c r="F93" s="1790">
        <f>F88+F80+F79-22</f>
        <v>412363.89002020704</v>
      </c>
      <c r="G93" s="497">
        <f t="shared" ref="G93:O93" si="32">G88+G80+G79</f>
        <v>437795.18422615022</v>
      </c>
      <c r="H93" s="497">
        <f t="shared" si="32"/>
        <v>345881.30538458226</v>
      </c>
      <c r="I93" s="497">
        <f t="shared" si="32"/>
        <v>760540.26000273414</v>
      </c>
      <c r="J93" s="497">
        <f t="shared" si="32"/>
        <v>947095.2577882784</v>
      </c>
      <c r="K93" s="497">
        <f t="shared" si="32"/>
        <v>621553.81200021401</v>
      </c>
      <c r="L93" s="497">
        <f t="shared" si="32"/>
        <v>670882.28091031255</v>
      </c>
      <c r="M93" s="497">
        <f t="shared" si="32"/>
        <v>179669.5111585409</v>
      </c>
      <c r="N93" s="497" t="e">
        <f t="shared" si="32"/>
        <v>#VALUE!</v>
      </c>
      <c r="O93" s="497">
        <f t="shared" si="32"/>
        <v>34093.190486369262</v>
      </c>
      <c r="P93" s="497">
        <v>470377.61</v>
      </c>
      <c r="Q93" s="497">
        <f t="shared" si="28"/>
        <v>476717.64778827841</v>
      </c>
      <c r="R93" s="497">
        <v>465858</v>
      </c>
      <c r="S93" s="497">
        <f t="shared" si="23"/>
        <v>0.48765267419740033</v>
      </c>
      <c r="T93" s="1665">
        <f t="shared" si="24"/>
        <v>-0.38152174876539868</v>
      </c>
    </row>
    <row r="94" spans="1:20" ht="15.75" thickBot="1">
      <c r="A94" s="3341"/>
      <c r="B94" s="1381" t="s">
        <v>1090</v>
      </c>
      <c r="C94" s="185" t="s">
        <v>11</v>
      </c>
      <c r="D94" s="495"/>
      <c r="E94" s="495"/>
      <c r="F94" s="1382"/>
      <c r="G94" s="495"/>
      <c r="H94" s="495"/>
      <c r="I94" s="495"/>
      <c r="J94" s="495"/>
      <c r="K94" s="495"/>
      <c r="L94" s="495"/>
      <c r="M94" s="1382"/>
      <c r="N94" s="495"/>
      <c r="O94" s="1383"/>
      <c r="P94" s="495"/>
      <c r="Q94" s="497">
        <f t="shared" si="28"/>
        <v>0</v>
      </c>
      <c r="R94" s="497"/>
      <c r="S94" s="497"/>
      <c r="T94" s="1665"/>
    </row>
    <row r="95" spans="1:20" ht="39" hidden="1" thickBot="1">
      <c r="A95" s="1745" t="s">
        <v>147</v>
      </c>
      <c r="B95" s="1378" t="s">
        <v>1092</v>
      </c>
      <c r="C95" s="1384" t="s">
        <v>11</v>
      </c>
      <c r="D95" s="418"/>
      <c r="E95" s="418"/>
      <c r="F95" s="1368">
        <v>87770.2</v>
      </c>
      <c r="G95" s="418"/>
      <c r="H95" s="418"/>
      <c r="I95" s="418"/>
      <c r="J95" s="418"/>
      <c r="K95" s="418"/>
      <c r="L95" s="418"/>
      <c r="M95" s="1368"/>
      <c r="N95" s="418"/>
      <c r="O95" s="418"/>
      <c r="P95" s="418"/>
      <c r="Q95" s="495">
        <f t="shared" si="28"/>
        <v>0</v>
      </c>
      <c r="R95" s="495"/>
      <c r="S95" s="495" t="e">
        <f t="shared" si="23"/>
        <v>#DIV/0!</v>
      </c>
      <c r="T95" s="1383" t="e">
        <f t="shared" si="24"/>
        <v>#DIV/0!</v>
      </c>
    </row>
    <row r="96" spans="1:20" ht="26.25" hidden="1" thickBot="1">
      <c r="A96" s="1745"/>
      <c r="B96" s="1378" t="s">
        <v>1093</v>
      </c>
      <c r="C96" s="1384" t="s">
        <v>11</v>
      </c>
      <c r="D96" s="418"/>
      <c r="E96" s="418"/>
      <c r="F96" s="1368">
        <v>626.14</v>
      </c>
      <c r="G96" s="418"/>
      <c r="H96" s="418"/>
      <c r="I96" s="418"/>
      <c r="J96" s="418"/>
      <c r="K96" s="418"/>
      <c r="L96" s="418"/>
      <c r="M96" s="1368"/>
      <c r="N96" s="418"/>
      <c r="O96" s="418"/>
      <c r="P96" s="418"/>
      <c r="Q96" s="418">
        <f t="shared" si="28"/>
        <v>0</v>
      </c>
      <c r="R96" s="418"/>
      <c r="S96" s="418" t="e">
        <f t="shared" si="23"/>
        <v>#DIV/0!</v>
      </c>
      <c r="T96" s="1079" t="e">
        <f t="shared" si="24"/>
        <v>#DIV/0!</v>
      </c>
    </row>
    <row r="97" spans="1:22" ht="26.25" hidden="1" thickBot="1">
      <c r="A97" s="1745"/>
      <c r="B97" s="1378" t="s">
        <v>1094</v>
      </c>
      <c r="C97" s="1384" t="s">
        <v>11</v>
      </c>
      <c r="D97" s="418"/>
      <c r="E97" s="418"/>
      <c r="F97" s="1368">
        <v>5512.85</v>
      </c>
      <c r="G97" s="418"/>
      <c r="H97" s="418"/>
      <c r="I97" s="418"/>
      <c r="J97" s="418"/>
      <c r="K97" s="418"/>
      <c r="L97" s="418"/>
      <c r="M97" s="1368"/>
      <c r="N97" s="418"/>
      <c r="O97" s="418"/>
      <c r="P97" s="418"/>
      <c r="Q97" s="418">
        <f t="shared" si="28"/>
        <v>0</v>
      </c>
      <c r="R97" s="418"/>
      <c r="S97" s="418" t="e">
        <f t="shared" si="23"/>
        <v>#DIV/0!</v>
      </c>
      <c r="T97" s="1079" t="e">
        <f t="shared" si="24"/>
        <v>#DIV/0!</v>
      </c>
    </row>
    <row r="98" spans="1:22" ht="38.25" hidden="1" customHeight="1" thickBot="1">
      <c r="A98" s="1745"/>
      <c r="B98" s="1378" t="s">
        <v>1095</v>
      </c>
      <c r="C98" s="1384" t="s">
        <v>11</v>
      </c>
      <c r="D98" s="418"/>
      <c r="E98" s="418"/>
      <c r="F98" s="1368">
        <v>5519.5</v>
      </c>
      <c r="G98" s="418"/>
      <c r="H98" s="418"/>
      <c r="I98" s="418"/>
      <c r="J98" s="418"/>
      <c r="K98" s="418"/>
      <c r="L98" s="418"/>
      <c r="M98" s="1368"/>
      <c r="N98" s="418"/>
      <c r="O98" s="418"/>
      <c r="P98" s="418"/>
      <c r="Q98" s="418">
        <f t="shared" si="28"/>
        <v>0</v>
      </c>
      <c r="R98" s="418"/>
      <c r="S98" s="418" t="e">
        <f t="shared" si="23"/>
        <v>#DIV/0!</v>
      </c>
      <c r="T98" s="1079" t="e">
        <f t="shared" si="24"/>
        <v>#DIV/0!</v>
      </c>
    </row>
    <row r="99" spans="1:22" ht="42" customHeight="1" thickBot="1">
      <c r="A99" s="2262"/>
      <c r="B99" s="2774" t="s">
        <v>1841</v>
      </c>
      <c r="C99" s="1387" t="s">
        <v>11</v>
      </c>
      <c r="D99" s="414"/>
      <c r="E99" s="414"/>
      <c r="F99" s="1370">
        <v>2192.48</v>
      </c>
      <c r="G99" s="414"/>
      <c r="H99" s="414"/>
      <c r="I99" s="414"/>
      <c r="J99" s="414"/>
      <c r="K99" s="414"/>
      <c r="L99" s="414"/>
      <c r="M99" s="1370"/>
      <c r="N99" s="414"/>
      <c r="O99" s="414"/>
      <c r="P99" s="414">
        <v>41791.26</v>
      </c>
      <c r="Q99" s="418">
        <f t="shared" si="28"/>
        <v>-41791.26</v>
      </c>
      <c r="R99" s="418"/>
      <c r="S99" s="418"/>
      <c r="T99" s="1079"/>
    </row>
    <row r="100" spans="1:22" ht="16.5" thickBot="1">
      <c r="A100" s="183"/>
      <c r="B100" s="1388" t="s">
        <v>1096</v>
      </c>
      <c r="C100" s="1384" t="s">
        <v>11</v>
      </c>
      <c r="D100" s="962"/>
      <c r="E100" s="962"/>
      <c r="F100" s="957">
        <f>F93-F95-F96-F97-F98-F99</f>
        <v>310742.72002020705</v>
      </c>
      <c r="G100" s="1389"/>
      <c r="H100" s="1390"/>
      <c r="I100" s="1390"/>
      <c r="J100" s="1390"/>
      <c r="K100" s="1390"/>
      <c r="L100" s="1390"/>
      <c r="M100" s="1390"/>
      <c r="N100" s="1390"/>
      <c r="O100" s="1390"/>
      <c r="P100" s="1390">
        <v>438045</v>
      </c>
      <c r="Q100" s="1390">
        <f t="shared" si="28"/>
        <v>-438045</v>
      </c>
      <c r="R100" s="1390"/>
      <c r="S100" s="1390"/>
      <c r="T100" s="1391"/>
    </row>
    <row r="101" spans="1:22" ht="15.75" thickBot="1">
      <c r="A101" s="1332"/>
      <c r="B101" s="1333" t="s">
        <v>1359</v>
      </c>
      <c r="C101" s="1334" t="s">
        <v>388</v>
      </c>
      <c r="D101" s="497">
        <v>48843.7</v>
      </c>
      <c r="E101" s="497">
        <f>E102+E103</f>
        <v>43904.82</v>
      </c>
      <c r="F101" s="1790">
        <v>48985.701000000001</v>
      </c>
      <c r="G101" s="1942">
        <f>G102+G103</f>
        <v>42331.974000000002</v>
      </c>
      <c r="H101" s="1942">
        <f t="shared" ref="H101:L101" si="33">H102+H103</f>
        <v>21487.02</v>
      </c>
      <c r="I101" s="1942">
        <f t="shared" si="33"/>
        <v>42331.974000000002</v>
      </c>
      <c r="J101" s="1942">
        <f>F101</f>
        <v>48985.701000000001</v>
      </c>
      <c r="K101" s="1942">
        <f t="shared" si="33"/>
        <v>42598.718999999997</v>
      </c>
      <c r="L101" s="1942">
        <f t="shared" si="33"/>
        <v>43182.115000000005</v>
      </c>
      <c r="M101" s="1943"/>
      <c r="N101" s="1944"/>
      <c r="O101" s="1945"/>
      <c r="P101" s="1942">
        <v>53901.84</v>
      </c>
      <c r="Q101" s="1942">
        <f t="shared" si="28"/>
        <v>-4916.1389999999956</v>
      </c>
      <c r="R101" s="1942"/>
      <c r="S101" s="3342"/>
      <c r="T101" s="3343"/>
    </row>
    <row r="102" spans="1:22" ht="15.75" thickBot="1">
      <c r="A102" s="3344"/>
      <c r="B102" s="3345" t="s">
        <v>1360</v>
      </c>
      <c r="C102" s="1334"/>
      <c r="D102" s="3346"/>
      <c r="E102" s="497">
        <v>32552.418000000001</v>
      </c>
      <c r="F102" s="1369"/>
      <c r="G102" s="3347">
        <v>30920.879000000001</v>
      </c>
      <c r="H102" s="1942">
        <v>15781.47</v>
      </c>
      <c r="I102" s="3347">
        <v>30920.879000000001</v>
      </c>
      <c r="J102" s="3348">
        <v>31459.056</v>
      </c>
      <c r="K102" s="3348">
        <v>31170.923999999999</v>
      </c>
      <c r="L102" s="3348">
        <v>31744.043000000001</v>
      </c>
      <c r="M102" s="3349"/>
      <c r="N102" s="3350"/>
      <c r="O102" s="3351"/>
    </row>
    <row r="103" spans="1:22" ht="15.75" thickBot="1">
      <c r="A103" s="186"/>
      <c r="B103" s="1950" t="s">
        <v>1358</v>
      </c>
      <c r="C103" s="185"/>
      <c r="D103" s="1951"/>
      <c r="E103" s="1951">
        <v>11352.402</v>
      </c>
      <c r="F103" s="963"/>
      <c r="G103" s="1951">
        <v>11411.094999999999</v>
      </c>
      <c r="H103" s="1955">
        <f>11411.1/2</f>
        <v>5705.55</v>
      </c>
      <c r="I103" s="1951">
        <v>11411.094999999999</v>
      </c>
      <c r="J103" s="1951">
        <v>11439.414000000001</v>
      </c>
      <c r="K103" s="1951">
        <v>11427.795</v>
      </c>
      <c r="L103" s="1951">
        <v>11438.072</v>
      </c>
      <c r="M103" s="1958"/>
      <c r="N103" s="1951"/>
      <c r="O103" s="1959"/>
      <c r="R103" s="3288"/>
      <c r="S103" s="3288" t="s">
        <v>1827</v>
      </c>
      <c r="T103" s="3288"/>
    </row>
    <row r="104" spans="1:22" ht="15.75" thickBot="1">
      <c r="A104" s="1957"/>
      <c r="B104" s="1946" t="s">
        <v>1057</v>
      </c>
      <c r="C104" s="1947" t="s">
        <v>143</v>
      </c>
      <c r="D104" s="1948">
        <f>D93/D101</f>
        <v>6.0894113550414879</v>
      </c>
      <c r="E104" s="1948">
        <f t="shared" ref="E104:L104" si="34">E93/E101</f>
        <v>7.2016646258397898</v>
      </c>
      <c r="F104" s="1369">
        <f>F100/F101</f>
        <v>6.3435393120169303</v>
      </c>
      <c r="G104" s="1948">
        <f>G93/G101</f>
        <v>10.341950607504158</v>
      </c>
      <c r="H104" s="1948">
        <f t="shared" ref="H104:I104" si="35">H93/H101</f>
        <v>16.097220805145724</v>
      </c>
      <c r="I104" s="1948">
        <f t="shared" si="35"/>
        <v>17.96609484837003</v>
      </c>
      <c r="J104" s="1948">
        <f t="shared" si="34"/>
        <v>19.334116659640706</v>
      </c>
      <c r="K104" s="1948">
        <f t="shared" si="34"/>
        <v>14.59090382507075</v>
      </c>
      <c r="L104" s="1948">
        <f t="shared" si="34"/>
        <v>15.536114451788952</v>
      </c>
      <c r="M104" s="1369"/>
      <c r="N104" s="1948"/>
      <c r="O104" s="1949"/>
      <c r="P104">
        <f>P100/P101</f>
        <v>8.1267170100315695</v>
      </c>
      <c r="R104" s="3288" t="s">
        <v>1828</v>
      </c>
      <c r="S104" s="3289">
        <f>D110/C110</f>
        <v>1.5587039402309977</v>
      </c>
      <c r="T104" s="3289">
        <f>S116/I104</f>
        <v>0.55091382428969016</v>
      </c>
    </row>
    <row r="105" spans="1:22" ht="15.75" thickBot="1">
      <c r="A105" s="134"/>
      <c r="B105" s="137" t="s">
        <v>389</v>
      </c>
      <c r="C105" s="1234" t="s">
        <v>280</v>
      </c>
      <c r="D105" s="965"/>
      <c r="E105" s="965"/>
      <c r="F105" s="963"/>
      <c r="G105" s="965">
        <f>(G104/F104-1)*100</f>
        <v>63.031236961246663</v>
      </c>
      <c r="H105" s="965">
        <f>(H104/F104-1)*100</f>
        <v>153.75772125589</v>
      </c>
      <c r="I105" s="965">
        <f>(I104/H104-1)*100</f>
        <v>11.609917425167527</v>
      </c>
      <c r="J105" s="965">
        <f>(J104/I104-1)*100</f>
        <v>7.614463926726911</v>
      </c>
      <c r="K105" s="965">
        <f>(K104/J104-1)*100</f>
        <v>-24.532865494037527</v>
      </c>
      <c r="L105" s="1235">
        <f>(L104/K104-1)*100</f>
        <v>6.4780813995504394</v>
      </c>
      <c r="M105" s="964"/>
      <c r="N105" s="1236"/>
      <c r="O105" s="1233"/>
      <c r="R105" s="3288" t="s">
        <v>1829</v>
      </c>
      <c r="S105" s="3289">
        <f>E110/C110</f>
        <v>1.2793519701154989</v>
      </c>
      <c r="T105" s="3288" t="s">
        <v>1830</v>
      </c>
    </row>
    <row r="106" spans="1:22" ht="15.75" thickBot="1">
      <c r="A106" s="56"/>
      <c r="B106" s="213"/>
      <c r="C106" s="214"/>
      <c r="D106" s="215"/>
      <c r="E106" s="215"/>
      <c r="F106" s="1940" t="s">
        <v>1335</v>
      </c>
      <c r="G106" s="965">
        <f>(G104/F104-1)*100</f>
        <v>63.031236961246663</v>
      </c>
      <c r="H106" s="965">
        <f>(H104/F104-1)*100</f>
        <v>153.75772125589</v>
      </c>
      <c r="I106" s="965">
        <f>(I104/F104-1)*100</f>
        <v>183.21878315368559</v>
      </c>
      <c r="J106" s="965">
        <f>(J104/F104-1)*100</f>
        <v>204.78437523063789</v>
      </c>
      <c r="K106" s="965">
        <f>(K104/F104-1)*100</f>
        <v>130.01203440846285</v>
      </c>
      <c r="L106" s="965">
        <f>(L104/F104-1)*100</f>
        <v>144.91240122620508</v>
      </c>
      <c r="M106" s="215"/>
    </row>
    <row r="107" spans="1:22">
      <c r="A107" s="56"/>
      <c r="B107" s="213"/>
      <c r="C107" s="214"/>
      <c r="D107" s="215"/>
      <c r="E107" s="215"/>
      <c r="F107" s="215" t="s">
        <v>1361</v>
      </c>
      <c r="G107" s="1941">
        <f>G104*1.18</f>
        <v>12.203501716854905</v>
      </c>
      <c r="H107" s="1941">
        <f>H104*1.18</f>
        <v>18.994720550071953</v>
      </c>
      <c r="I107" s="1941">
        <f>I104*1.18</f>
        <v>21.199991921076634</v>
      </c>
      <c r="J107" s="1941">
        <f>J104*1.18</f>
        <v>22.814257658376032</v>
      </c>
      <c r="K107" s="1941">
        <f t="shared" ref="K107:L107" si="36">K104*1.18</f>
        <v>17.217266513583485</v>
      </c>
      <c r="L107" s="1941">
        <f t="shared" si="36"/>
        <v>18.332615053110963</v>
      </c>
      <c r="M107" s="215"/>
    </row>
    <row r="108" spans="1:22" ht="24.75">
      <c r="B108" s="2775" t="s">
        <v>370</v>
      </c>
      <c r="C108" s="1342" t="s">
        <v>1320</v>
      </c>
      <c r="D108" s="1342" t="s">
        <v>1321</v>
      </c>
      <c r="E108" s="1342" t="s">
        <v>1079</v>
      </c>
      <c r="F108" s="1939"/>
      <c r="G108" s="790"/>
      <c r="H108" s="2422"/>
      <c r="I108" s="2422"/>
      <c r="J108" s="2422"/>
      <c r="K108" s="2422"/>
      <c r="L108" s="1939"/>
      <c r="M108" s="2775" t="s">
        <v>370</v>
      </c>
      <c r="N108" s="1342" t="s">
        <v>1320</v>
      </c>
      <c r="O108" s="1342" t="s">
        <v>1321</v>
      </c>
      <c r="P108" s="1342" t="s">
        <v>1079</v>
      </c>
      <c r="Q108" s="1342" t="s">
        <v>1080</v>
      </c>
      <c r="V108">
        <f>V111-V112</f>
        <v>152.70000000001164</v>
      </c>
    </row>
    <row r="109" spans="1:22">
      <c r="B109" s="1343" t="s">
        <v>1078</v>
      </c>
      <c r="C109" s="1129">
        <v>26950.92</v>
      </c>
      <c r="D109" s="1129">
        <v>26950.92</v>
      </c>
      <c r="E109" s="1344">
        <v>53901.84</v>
      </c>
      <c r="F109" s="423"/>
      <c r="G109" s="423"/>
      <c r="H109" s="1290"/>
      <c r="I109" s="1290"/>
      <c r="J109" s="1290"/>
      <c r="K109" s="1290"/>
      <c r="L109" s="423"/>
      <c r="M109" s="1343" t="s">
        <v>1078</v>
      </c>
      <c r="N109" s="1129">
        <f>P101/2</f>
        <v>26950.92</v>
      </c>
      <c r="O109" s="1129">
        <f>P101/2</f>
        <v>26950.92</v>
      </c>
      <c r="P109" s="1344">
        <f>N109+O109</f>
        <v>53901.84</v>
      </c>
      <c r="Q109" s="1"/>
    </row>
    <row r="110" spans="1:22" ht="18.75" customHeight="1">
      <c r="B110" s="1343" t="s">
        <v>1081</v>
      </c>
      <c r="C110" s="92">
        <v>6.35</v>
      </c>
      <c r="D110" s="1358">
        <v>9.8977700204668349</v>
      </c>
      <c r="E110" s="1358">
        <v>8.1238850102334172</v>
      </c>
      <c r="H110" s="1290"/>
      <c r="I110" s="1290"/>
      <c r="J110" s="1290"/>
      <c r="K110" s="1290"/>
      <c r="M110" s="1343" t="s">
        <v>1081</v>
      </c>
      <c r="N110" s="92">
        <v>6.35</v>
      </c>
      <c r="O110" s="1358">
        <f>O111/O109</f>
        <v>9.9034340200631394</v>
      </c>
      <c r="P110" s="1358">
        <f>P111/P109</f>
        <v>8.1267170100315695</v>
      </c>
      <c r="Q110" s="1346"/>
    </row>
    <row r="111" spans="1:22">
      <c r="B111" s="1343" t="s">
        <v>1082</v>
      </c>
      <c r="C111" s="1345">
        <v>171138.34199999998</v>
      </c>
      <c r="D111" s="1129">
        <v>266754.00800000003</v>
      </c>
      <c r="E111" s="1344">
        <v>437892.35</v>
      </c>
      <c r="F111" s="423"/>
      <c r="G111" s="423"/>
      <c r="H111" s="423"/>
      <c r="I111" s="423"/>
      <c r="J111" s="423"/>
      <c r="K111" s="423"/>
      <c r="L111" s="423"/>
      <c r="M111" s="1343" t="s">
        <v>1082</v>
      </c>
      <c r="N111" s="1345">
        <f>N109*N110</f>
        <v>171138.34199999998</v>
      </c>
      <c r="O111" s="1129">
        <f>P100-N111</f>
        <v>266906.65800000005</v>
      </c>
      <c r="P111" s="1344">
        <f>N111+O111</f>
        <v>438045</v>
      </c>
      <c r="Q111" s="1"/>
      <c r="V111">
        <f>438045</f>
        <v>438045</v>
      </c>
    </row>
    <row r="112" spans="1:22">
      <c r="B112" s="2775" t="s">
        <v>1827</v>
      </c>
      <c r="C112" s="1342"/>
      <c r="D112" s="1342"/>
      <c r="E112" s="3352">
        <v>1.5587039402309977</v>
      </c>
      <c r="G112" s="423"/>
      <c r="H112" s="423"/>
      <c r="I112" s="423"/>
      <c r="J112" s="423"/>
      <c r="K112" s="423"/>
      <c r="L112" s="423"/>
      <c r="N112" s="2773"/>
      <c r="V112">
        <v>437892.3</v>
      </c>
    </row>
    <row r="113" spans="3:23" hidden="1">
      <c r="C113" t="s">
        <v>1027</v>
      </c>
      <c r="D113" s="423"/>
    </row>
    <row r="114" spans="3:23">
      <c r="P114" s="423"/>
      <c r="Q114" s="3353"/>
      <c r="R114" s="3353"/>
      <c r="S114" s="3353"/>
      <c r="T114" s="3353"/>
      <c r="U114" s="3353"/>
      <c r="V114" s="1934">
        <f>V112-V111</f>
        <v>-152.70000000001164</v>
      </c>
      <c r="W114" s="3353"/>
    </row>
    <row r="115" spans="3:23">
      <c r="D115" s="423"/>
      <c r="O115" s="403"/>
      <c r="Q115" s="3354" t="s">
        <v>1078</v>
      </c>
      <c r="R115" s="3355">
        <v>26950.92</v>
      </c>
      <c r="S115" s="3355">
        <v>26950.92</v>
      </c>
      <c r="T115" s="3356">
        <v>53901.84</v>
      </c>
      <c r="U115" s="1934"/>
      <c r="V115" s="3363"/>
      <c r="W115" s="3353"/>
    </row>
    <row r="116" spans="3:23">
      <c r="Q116" s="3354" t="s">
        <v>1081</v>
      </c>
      <c r="R116" s="3357">
        <v>6.35</v>
      </c>
      <c r="S116" s="3358">
        <v>9.8977700204668349</v>
      </c>
      <c r="T116" s="3358">
        <v>8.1238850102334172</v>
      </c>
      <c r="U116" s="3359"/>
      <c r="V116" s="3354"/>
      <c r="W116" s="3353"/>
    </row>
    <row r="117" spans="3:23">
      <c r="Q117" s="3354" t="s">
        <v>1082</v>
      </c>
      <c r="R117" s="3360">
        <v>171138.34199999998</v>
      </c>
      <c r="S117" s="3355">
        <v>266754.00800000003</v>
      </c>
      <c r="T117" s="3356">
        <v>437892.35</v>
      </c>
      <c r="U117" s="1934"/>
      <c r="V117" s="3354"/>
      <c r="W117" s="3353"/>
    </row>
    <row r="118" spans="3:23">
      <c r="Q118" s="3361" t="s">
        <v>1827</v>
      </c>
      <c r="R118" s="1934"/>
      <c r="S118" s="1934"/>
      <c r="T118" s="3362"/>
      <c r="U118" s="1934"/>
      <c r="V118" s="3353"/>
      <c r="W118" s="3353"/>
    </row>
    <row r="119" spans="3:23">
      <c r="Q119" s="3353"/>
      <c r="R119" s="1934"/>
      <c r="S119" s="1934"/>
      <c r="T119" s="1934"/>
      <c r="U119" s="1934"/>
      <c r="V119" s="3353"/>
      <c r="W119" s="3353"/>
    </row>
    <row r="120" spans="3:23">
      <c r="Q120" s="3353"/>
      <c r="R120" s="1934"/>
      <c r="S120" s="1934"/>
      <c r="T120" s="1934"/>
      <c r="U120" s="1934"/>
      <c r="V120" s="3353"/>
      <c r="W120" s="3353"/>
    </row>
    <row r="121" spans="3:23">
      <c r="Q121" s="3353"/>
      <c r="R121" s="1934"/>
      <c r="S121" s="1934"/>
      <c r="T121" s="1934"/>
      <c r="U121" s="1934"/>
      <c r="V121" s="3353"/>
      <c r="W121" s="3353"/>
    </row>
    <row r="122" spans="3:23">
      <c r="R122" s="1815"/>
      <c r="S122" s="1815"/>
      <c r="T122" s="1815"/>
      <c r="U122" s="1815"/>
    </row>
    <row r="123" spans="3:23">
      <c r="T123">
        <f>(6.1+6.34)/2</f>
        <v>6.22</v>
      </c>
    </row>
  </sheetData>
  <mergeCells count="24">
    <mergeCell ref="A3:J3"/>
    <mergeCell ref="C4:F4"/>
    <mergeCell ref="A5:A7"/>
    <mergeCell ref="B5:B7"/>
    <mergeCell ref="C5:C7"/>
    <mergeCell ref="D5:L5"/>
    <mergeCell ref="M5:O5"/>
    <mergeCell ref="S5:T5"/>
    <mergeCell ref="D6:E6"/>
    <mergeCell ref="F6:G6"/>
    <mergeCell ref="H6:H7"/>
    <mergeCell ref="I6:I7"/>
    <mergeCell ref="J6:J7"/>
    <mergeCell ref="K6:K7"/>
    <mergeCell ref="L6:L7"/>
    <mergeCell ref="M6:M7"/>
    <mergeCell ref="T6:T7"/>
    <mergeCell ref="R6:R7"/>
    <mergeCell ref="S6:S7"/>
    <mergeCell ref="A76:A77"/>
    <mergeCell ref="N6:N7"/>
    <mergeCell ref="O6:O7"/>
    <mergeCell ref="P6:P7"/>
    <mergeCell ref="Q6:Q7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116"/>
  <sheetViews>
    <sheetView topLeftCell="A98" zoomScale="80" zoomScaleNormal="80" zoomScaleSheetLayoutView="80" workbookViewId="0">
      <selection activeCell="H112" sqref="H112"/>
    </sheetView>
  </sheetViews>
  <sheetFormatPr defaultRowHeight="15"/>
  <cols>
    <col min="1" max="1" width="7.28515625" customWidth="1"/>
    <col min="2" max="2" width="30.28515625" customWidth="1"/>
    <col min="3" max="3" width="10.85546875" customWidth="1"/>
    <col min="4" max="4" width="14" customWidth="1"/>
    <col min="5" max="5" width="12.140625" customWidth="1"/>
    <col min="6" max="6" width="12.85546875" customWidth="1"/>
    <col min="7" max="7" width="11.7109375" customWidth="1"/>
    <col min="8" max="8" width="14.5703125" customWidth="1"/>
    <col min="9" max="9" width="14.140625" customWidth="1"/>
    <col min="10" max="10" width="12.85546875" customWidth="1"/>
    <col min="11" max="11" width="12" customWidth="1"/>
    <col min="12" max="12" width="14.140625" customWidth="1"/>
    <col min="13" max="13" width="13.7109375" customWidth="1"/>
    <col min="14" max="14" width="14.42578125" customWidth="1"/>
    <col min="15" max="15" width="16.85546875" customWidth="1"/>
    <col min="16" max="16" width="15.140625" customWidth="1"/>
  </cols>
  <sheetData>
    <row r="1" spans="1:15">
      <c r="H1" s="2434">
        <f>H80*0.2</f>
        <v>2851.7241937956296</v>
      </c>
      <c r="I1" s="2434">
        <f t="shared" ref="I1:L1" si="0">I80*0.2</f>
        <v>5710.9527299712809</v>
      </c>
      <c r="J1" s="2434">
        <f t="shared" si="0"/>
        <v>5044.7347848607678</v>
      </c>
      <c r="K1" s="2434">
        <f t="shared" si="0"/>
        <v>6361.6853512360431</v>
      </c>
      <c r="L1" s="2434">
        <f t="shared" si="0"/>
        <v>6103.6809983091316</v>
      </c>
    </row>
    <row r="2" spans="1:15">
      <c r="B2" s="358" t="s">
        <v>1268</v>
      </c>
      <c r="C2" s="380"/>
      <c r="D2" s="380"/>
      <c r="E2" s="380"/>
    </row>
    <row r="3" spans="1:15">
      <c r="A3" s="3430" t="s">
        <v>518</v>
      </c>
      <c r="B3" s="3430"/>
      <c r="C3" s="3430"/>
      <c r="D3" s="3430"/>
      <c r="E3" s="3430"/>
      <c r="F3" s="3430"/>
      <c r="G3" s="3430"/>
      <c r="H3" s="3430"/>
      <c r="I3" s="3430"/>
      <c r="J3" s="3430"/>
      <c r="K3" s="2756"/>
      <c r="L3" s="2756"/>
    </row>
    <row r="4" spans="1:15" ht="15.75" thickBot="1">
      <c r="A4" s="2756"/>
      <c r="B4" s="155" t="s">
        <v>375</v>
      </c>
      <c r="C4" s="3562" t="s">
        <v>1102</v>
      </c>
      <c r="D4" s="3562"/>
      <c r="E4" s="3562"/>
      <c r="F4" s="3562"/>
      <c r="G4" s="2756"/>
      <c r="H4" s="2756"/>
      <c r="I4" s="2756"/>
      <c r="J4" s="2756"/>
      <c r="K4" s="2756"/>
      <c r="L4" s="2756"/>
    </row>
    <row r="5" spans="1:15" ht="15.75" thickBot="1">
      <c r="A5" s="3389" t="s">
        <v>0</v>
      </c>
      <c r="B5" s="3389" t="s">
        <v>1</v>
      </c>
      <c r="C5" s="3389" t="s">
        <v>2</v>
      </c>
      <c r="D5" s="3432" t="s">
        <v>165</v>
      </c>
      <c r="E5" s="3433"/>
      <c r="F5" s="3433"/>
      <c r="G5" s="3433"/>
      <c r="H5" s="3433"/>
      <c r="I5" s="3433"/>
      <c r="J5" s="3433"/>
      <c r="K5" s="3433"/>
      <c r="L5" s="3434"/>
      <c r="M5" s="3432" t="s">
        <v>166</v>
      </c>
      <c r="N5" s="3433"/>
      <c r="O5" s="3434"/>
    </row>
    <row r="6" spans="1:15" ht="15.75" customHeight="1" thickBot="1">
      <c r="A6" s="3401"/>
      <c r="B6" s="3401"/>
      <c r="C6" s="3401"/>
      <c r="D6" s="3458">
        <v>2014</v>
      </c>
      <c r="E6" s="3458"/>
      <c r="F6" s="3418">
        <v>2015</v>
      </c>
      <c r="G6" s="3560"/>
      <c r="H6" s="3420" t="s">
        <v>1375</v>
      </c>
      <c r="I6" s="3420" t="s">
        <v>1379</v>
      </c>
      <c r="J6" s="3389" t="s">
        <v>392</v>
      </c>
      <c r="K6" s="3561" t="s">
        <v>393</v>
      </c>
      <c r="L6" s="3389" t="s">
        <v>1297</v>
      </c>
      <c r="M6" s="3563" t="s">
        <v>392</v>
      </c>
      <c r="N6" s="3565" t="s">
        <v>393</v>
      </c>
      <c r="O6" s="3389" t="s">
        <v>1297</v>
      </c>
    </row>
    <row r="7" spans="1:15" ht="48" customHeight="1" thickBot="1">
      <c r="A7" s="3390"/>
      <c r="B7" s="3390"/>
      <c r="C7" s="3390"/>
      <c r="D7" s="555" t="s">
        <v>966</v>
      </c>
      <c r="E7" s="4" t="s">
        <v>6</v>
      </c>
      <c r="F7" s="555" t="s">
        <v>966</v>
      </c>
      <c r="G7" s="2757" t="s">
        <v>8</v>
      </c>
      <c r="H7" s="3421"/>
      <c r="I7" s="3421"/>
      <c r="J7" s="3390"/>
      <c r="K7" s="3557"/>
      <c r="L7" s="3390"/>
      <c r="M7" s="3564"/>
      <c r="N7" s="3388"/>
      <c r="O7" s="3390"/>
    </row>
    <row r="8" spans="1:15" ht="15.75" thickBot="1">
      <c r="A8" s="32">
        <v>1</v>
      </c>
      <c r="B8" s="2759">
        <v>2</v>
      </c>
      <c r="C8" s="2759">
        <v>3</v>
      </c>
      <c r="D8" s="2759">
        <v>4</v>
      </c>
      <c r="E8" s="2759">
        <v>5</v>
      </c>
      <c r="F8" s="388">
        <v>6</v>
      </c>
      <c r="G8" s="51">
        <v>7</v>
      </c>
      <c r="H8" s="2007"/>
      <c r="I8" s="2007"/>
      <c r="J8" s="392">
        <v>8</v>
      </c>
      <c r="K8" s="218">
        <v>9</v>
      </c>
      <c r="L8" s="218">
        <v>10</v>
      </c>
      <c r="M8" s="389">
        <v>11</v>
      </c>
      <c r="N8" s="220">
        <v>12</v>
      </c>
      <c r="O8" s="220">
        <v>13</v>
      </c>
    </row>
    <row r="9" spans="1:15" ht="15.75" hidden="1" customHeight="1" thickBot="1">
      <c r="A9" s="221"/>
      <c r="B9" s="5"/>
      <c r="C9" s="5"/>
      <c r="D9" s="5"/>
      <c r="E9" s="5"/>
      <c r="F9" s="387"/>
      <c r="G9" s="222"/>
      <c r="H9" s="560"/>
      <c r="I9" s="560"/>
      <c r="J9" s="381"/>
      <c r="K9" s="391"/>
      <c r="L9" s="222"/>
      <c r="M9" s="390"/>
      <c r="N9" s="217"/>
      <c r="O9" s="136"/>
    </row>
    <row r="10" spans="1:15" ht="15.75" thickBot="1">
      <c r="A10" s="6">
        <v>1</v>
      </c>
      <c r="B10" s="7" t="s">
        <v>9</v>
      </c>
      <c r="C10" s="7"/>
      <c r="D10" s="837">
        <f>D11+D15+D21+D23+D26+D27+D28+0.8</f>
        <v>163318.763041964</v>
      </c>
      <c r="E10" s="837">
        <f t="shared" ref="E10:I10" si="1">E11+E15+E21+E23+E26+E27+E28</f>
        <v>205244.78929391</v>
      </c>
      <c r="F10" s="838">
        <f>F11+F15+F21+F23+F26+F27+F28-0.01</f>
        <v>296662.075907727</v>
      </c>
      <c r="G10" s="839">
        <f t="shared" si="1"/>
        <v>283635.82501629891</v>
      </c>
      <c r="H10" s="839">
        <f t="shared" si="1"/>
        <v>117117.64063980414</v>
      </c>
      <c r="I10" s="839">
        <f t="shared" si="1"/>
        <v>290261.5857210611</v>
      </c>
      <c r="J10" s="839">
        <f>J11+J15+J21++J22+J23+J26+J27+J28</f>
        <v>430576.31241347181</v>
      </c>
      <c r="K10" s="839">
        <f t="shared" ref="K10:L10" si="2">K11+K15+K21++K22+K23+K26+K27+K28</f>
        <v>394356.12624279736</v>
      </c>
      <c r="L10" s="839">
        <f t="shared" si="2"/>
        <v>407181.96718031849</v>
      </c>
      <c r="M10" s="841">
        <f>M11+M15+M21+M23+M26+M27+M28</f>
        <v>149281.81613289504</v>
      </c>
      <c r="N10" s="842">
        <v>0</v>
      </c>
      <c r="O10" s="840">
        <v>0</v>
      </c>
    </row>
    <row r="11" spans="1:15" ht="39" thickBot="1">
      <c r="A11" s="1211" t="s">
        <v>10</v>
      </c>
      <c r="B11" s="147" t="s">
        <v>144</v>
      </c>
      <c r="C11" s="148" t="s">
        <v>11</v>
      </c>
      <c r="D11" s="843">
        <f>D12+D13+D14-0.1</f>
        <v>7870.4990490000009</v>
      </c>
      <c r="E11" s="843">
        <f t="shared" ref="E11:O11" si="3">E12+E13+E14</f>
        <v>8944.2979337440884</v>
      </c>
      <c r="F11" s="844">
        <f t="shared" si="3"/>
        <v>9513.007988169531</v>
      </c>
      <c r="G11" s="845">
        <f t="shared" si="3"/>
        <v>9305.4413749725591</v>
      </c>
      <c r="H11" s="845">
        <f t="shared" si="3"/>
        <v>9265.254544881087</v>
      </c>
      <c r="I11" s="845">
        <f t="shared" si="3"/>
        <v>18492.309198843795</v>
      </c>
      <c r="J11" s="845">
        <f t="shared" si="3"/>
        <v>17499.431830990339</v>
      </c>
      <c r="K11" s="845">
        <f t="shared" si="3"/>
        <v>18251.907399722921</v>
      </c>
      <c r="L11" s="845">
        <f t="shared" si="3"/>
        <v>19040.138909921297</v>
      </c>
      <c r="M11" s="847">
        <f t="shared" si="3"/>
        <v>0</v>
      </c>
      <c r="N11" s="848">
        <f t="shared" si="3"/>
        <v>0</v>
      </c>
      <c r="O11" s="846">
        <f t="shared" si="3"/>
        <v>0</v>
      </c>
    </row>
    <row r="12" spans="1:15" ht="15.75" thickTop="1">
      <c r="A12" s="1148" t="s">
        <v>12</v>
      </c>
      <c r="B12" s="10" t="s">
        <v>13</v>
      </c>
      <c r="C12" s="11" t="s">
        <v>11</v>
      </c>
      <c r="D12" s="849">
        <f>'расшифровки ВО_2016'!D32</f>
        <v>300.38600000000002</v>
      </c>
      <c r="E12" s="849">
        <f>'расшифровки ВО_2016'!E32</f>
        <v>201.41520000000003</v>
      </c>
      <c r="F12" s="849">
        <f>'расшифровки ВО_2016'!F32</f>
        <v>269.23088639999997</v>
      </c>
      <c r="G12" s="849">
        <f>'расшифровки ВО_2016'!G32</f>
        <v>187.6224</v>
      </c>
      <c r="H12" s="849">
        <f>'расшифровки ВО_2016'!H32</f>
        <v>107.08320000000001</v>
      </c>
      <c r="I12" s="849">
        <f>'расшифровки ВО_2016'!I32</f>
        <v>232.61280000000002</v>
      </c>
      <c r="J12" s="849">
        <f>'расшифровки ВО_2016'!J32</f>
        <v>258.49454400000002</v>
      </c>
      <c r="K12" s="849">
        <f>'расшифровки ВО_2016'!K32</f>
        <v>269.60980939200005</v>
      </c>
      <c r="L12" s="849">
        <f>'расшифровки ВО_2016'!L32</f>
        <v>282.90277720099999</v>
      </c>
      <c r="M12" s="853">
        <f>'расшифровки ВО_2016'!V32</f>
        <v>0</v>
      </c>
      <c r="N12" s="854">
        <f>'расшифровки ВО_2016'!T32</f>
        <v>0</v>
      </c>
      <c r="O12" s="852">
        <f>'расшифровки ВО_2016'!U32</f>
        <v>0</v>
      </c>
    </row>
    <row r="13" spans="1:15">
      <c r="A13" s="1148" t="s">
        <v>14</v>
      </c>
      <c r="B13" s="12" t="s">
        <v>15</v>
      </c>
      <c r="C13" s="11" t="s">
        <v>11</v>
      </c>
      <c r="D13" s="447">
        <f>'расшифровки ВО_2016'!D46</f>
        <v>5052.7230490000011</v>
      </c>
      <c r="E13" s="447">
        <f>'расшифровки ВО_2016'!E46</f>
        <v>5196.7401605920886</v>
      </c>
      <c r="F13" s="447">
        <f>'расшифровки ВО_2016'!F46</f>
        <v>5203.360887402132</v>
      </c>
      <c r="G13" s="447">
        <f>'расшифровки ВО_2016'!G46</f>
        <v>5465.2921246259993</v>
      </c>
      <c r="H13" s="447">
        <f>'расшифровки ВО_2016'!H46</f>
        <v>3145.1639770405436</v>
      </c>
      <c r="I13" s="447">
        <f>'расшифровки ВО_2016'!I46</f>
        <v>6353.2312336218984</v>
      </c>
      <c r="J13" s="447">
        <f>'расшифровки ВО_2016'!J46</f>
        <v>5711.2302702341694</v>
      </c>
      <c r="K13" s="447">
        <f>'расшифровки ВО_2016'!K46</f>
        <v>5956.8131718542381</v>
      </c>
      <c r="L13" s="447">
        <f>'расшифровки ВО_2016'!L46</f>
        <v>6212.9561382439706</v>
      </c>
      <c r="M13" s="856">
        <f>'расшифровки ВО_2016'!V46</f>
        <v>0</v>
      </c>
      <c r="N13" s="857">
        <f>'расшифровки ВО_2016'!T46</f>
        <v>0</v>
      </c>
      <c r="O13" s="855">
        <f>'расшифровки ВО_2016'!U46</f>
        <v>0</v>
      </c>
    </row>
    <row r="14" spans="1:15" ht="26.25" thickBot="1">
      <c r="A14" s="1212" t="s">
        <v>16</v>
      </c>
      <c r="B14" s="150" t="s">
        <v>17</v>
      </c>
      <c r="C14" s="151" t="s">
        <v>11</v>
      </c>
      <c r="D14" s="858">
        <f>'расшифровки ВО_2016'!D57</f>
        <v>2517.4899999999998</v>
      </c>
      <c r="E14" s="858">
        <f>'расшифровки ВО_2016'!E57</f>
        <v>3546.1425731519994</v>
      </c>
      <c r="F14" s="858">
        <f>'расшифровки ВО_2016'!F62</f>
        <v>4040.4162143674002</v>
      </c>
      <c r="G14" s="858">
        <f>'расшифровки ВО_2016'!G57</f>
        <v>3652.5268503465595</v>
      </c>
      <c r="H14" s="858">
        <f>'расшифровки ВО_2016'!H63</f>
        <v>6013.0073678405433</v>
      </c>
      <c r="I14" s="858">
        <f>'расшифровки ВО_2016'!I63</f>
        <v>11906.465165221896</v>
      </c>
      <c r="J14" s="858">
        <f>'расшифровки ВО_2016'!J63</f>
        <v>11529.707016756169</v>
      </c>
      <c r="K14" s="858">
        <f>'расшифровки ВО_2016'!K63</f>
        <v>12025.484418476683</v>
      </c>
      <c r="L14" s="858">
        <f>'расшифровки ВО_2016'!L63</f>
        <v>12544.279994476325</v>
      </c>
      <c r="M14" s="861">
        <f>'расшифровки ВО_2016'!V62</f>
        <v>0</v>
      </c>
      <c r="N14" s="862">
        <f>'расшифровки ВО_2016'!T56</f>
        <v>0</v>
      </c>
      <c r="O14" s="860">
        <f>'расшифровки ВО_2016'!U56</f>
        <v>0</v>
      </c>
    </row>
    <row r="15" spans="1:15" ht="27" thickTop="1" thickBot="1">
      <c r="A15" s="1211" t="s">
        <v>18</v>
      </c>
      <c r="B15" s="147" t="s">
        <v>19</v>
      </c>
      <c r="C15" s="148" t="s">
        <v>11</v>
      </c>
      <c r="D15" s="843">
        <f>D16+D17+D18+D19+D20</f>
        <v>23071.226448900004</v>
      </c>
      <c r="E15" s="843">
        <f t="shared" ref="E15:O15" si="4">E16+E17+E18+E19+E20</f>
        <v>21941.542606999999</v>
      </c>
      <c r="F15" s="844">
        <f t="shared" si="4"/>
        <v>25252.088480693881</v>
      </c>
      <c r="G15" s="845">
        <f t="shared" si="4"/>
        <v>23311.207549999999</v>
      </c>
      <c r="H15" s="845">
        <f t="shared" si="4"/>
        <v>13628.401040319999</v>
      </c>
      <c r="I15" s="845">
        <f t="shared" si="4"/>
        <v>28884.352080639997</v>
      </c>
      <c r="J15" s="845">
        <f t="shared" si="4"/>
        <v>30911.45340260824</v>
      </c>
      <c r="K15" s="845">
        <f t="shared" si="4"/>
        <v>32520.429449076968</v>
      </c>
      <c r="L15" s="845">
        <f t="shared" si="4"/>
        <v>34223.336851387277</v>
      </c>
      <c r="M15" s="865">
        <f>SUM(M16:M20)</f>
        <v>0</v>
      </c>
      <c r="N15" s="866">
        <f t="shared" si="4"/>
        <v>1899.7211850000003</v>
      </c>
      <c r="O15" s="867">
        <f t="shared" si="4"/>
        <v>1956.7128205500003</v>
      </c>
    </row>
    <row r="16" spans="1:15" ht="15.75" thickTop="1">
      <c r="A16" s="1148" t="s">
        <v>20</v>
      </c>
      <c r="B16" s="10" t="s">
        <v>21</v>
      </c>
      <c r="C16" s="11" t="s">
        <v>11</v>
      </c>
      <c r="D16" s="849">
        <f>'расшифровки ВО_2016'!D173-0.05</f>
        <v>19458.498000000003</v>
      </c>
      <c r="E16" s="849">
        <f>'расшифровки ВО_2016'!E173</f>
        <v>20358.698700000001</v>
      </c>
      <c r="F16" s="849">
        <f>'расшифровки ВО_2016'!F168</f>
        <v>22882.459800547746</v>
      </c>
      <c r="G16" s="849">
        <f>'расшифровки ВО_2016'!G173</f>
        <v>21048.319950000001</v>
      </c>
      <c r="H16" s="849">
        <f>'расшифровки ВО_2016'!H119</f>
        <v>12039.8</v>
      </c>
      <c r="I16" s="849">
        <f>'расшифровки ВО_2016'!I119</f>
        <v>26094.1</v>
      </c>
      <c r="J16" s="849">
        <f>'расшифровки ВО_2016'!J119</f>
        <v>27974.404999999999</v>
      </c>
      <c r="K16" s="849">
        <f>'расшифровки ВО_2016'!K119</f>
        <v>29457.047999999999</v>
      </c>
      <c r="L16" s="849">
        <f>'расшифровки ВО_2016'!L119</f>
        <v>31028.27</v>
      </c>
      <c r="M16" s="853">
        <f>'расшифровки ВО_2016'!V173</f>
        <v>0</v>
      </c>
      <c r="N16" s="854">
        <v>0</v>
      </c>
      <c r="O16" s="852">
        <v>0</v>
      </c>
    </row>
    <row r="17" spans="1:15">
      <c r="A17" s="1148" t="s">
        <v>24</v>
      </c>
      <c r="B17" s="12" t="s">
        <v>22</v>
      </c>
      <c r="C17" s="11" t="s">
        <v>11</v>
      </c>
      <c r="D17" s="447">
        <f>'расшифровки ВО_2016'!D196</f>
        <v>2885.0891940000001</v>
      </c>
      <c r="E17" s="447">
        <f>'расшифровки ВО_2016'!E196</f>
        <v>1409.3519550000001</v>
      </c>
      <c r="F17" s="447">
        <f>'расшифровки ВО_2016'!F196</f>
        <v>1815.6193880000003</v>
      </c>
      <c r="G17" s="447">
        <f>'расшифровки ВО_2016'!G196</f>
        <v>1587.7639999999999</v>
      </c>
      <c r="H17" s="447">
        <f>'расшифровки ВО_2016'!H196</f>
        <v>1046.3900000000001</v>
      </c>
      <c r="I17" s="447">
        <f>'расшифровки ВО_2016'!I196</f>
        <v>1705.8299999999997</v>
      </c>
      <c r="J17" s="447">
        <f>'расшифровки ВО_2016'!J196</f>
        <v>1779.77</v>
      </c>
      <c r="K17" s="447">
        <f>'расшифровки ВО_2016'!K196</f>
        <v>1856.3400751565762</v>
      </c>
      <c r="L17" s="447">
        <f>'расшифровки ВО_2016'!L196</f>
        <v>1936.1226983883089</v>
      </c>
      <c r="M17" s="856">
        <v>0</v>
      </c>
      <c r="N17" s="857">
        <f>'расшифровки ВО_2016'!R196</f>
        <v>1899.7211850000003</v>
      </c>
      <c r="O17" s="855">
        <f>'расшифровки ВО_2016'!S196</f>
        <v>1956.7128205500003</v>
      </c>
    </row>
    <row r="18" spans="1:15">
      <c r="A18" s="1148" t="s">
        <v>23</v>
      </c>
      <c r="B18" s="12" t="s">
        <v>25</v>
      </c>
      <c r="C18" s="11" t="s">
        <v>11</v>
      </c>
      <c r="D18" s="447"/>
      <c r="E18" s="447"/>
      <c r="F18" s="447"/>
      <c r="G18" s="447"/>
      <c r="H18" s="447"/>
      <c r="I18" s="447"/>
      <c r="J18" s="447"/>
      <c r="K18" s="447"/>
      <c r="L18" s="447"/>
      <c r="M18" s="856">
        <f>'расшифровки ВО_2016'!S214</f>
        <v>0</v>
      </c>
      <c r="N18" s="857">
        <f>'расшифровки ВО_2016'!T214</f>
        <v>0</v>
      </c>
      <c r="O18" s="855">
        <f>'расшифровки ВО_2016'!U214</f>
        <v>0</v>
      </c>
    </row>
    <row r="19" spans="1:15">
      <c r="A19" s="1148" t="s">
        <v>26</v>
      </c>
      <c r="B19" s="12" t="s">
        <v>28</v>
      </c>
      <c r="C19" s="11" t="s">
        <v>11</v>
      </c>
      <c r="D19" s="447">
        <f>'расшифровки ВО_2016'!D238</f>
        <v>727.63925489999997</v>
      </c>
      <c r="E19" s="447">
        <f>'расшифровки ВО_2016'!E238</f>
        <v>173.491952</v>
      </c>
      <c r="F19" s="447">
        <f>'расшифровки ВО_2016'!F238</f>
        <v>554.00929214613507</v>
      </c>
      <c r="G19" s="447">
        <f>'расшифровки ВО_2016'!G238</f>
        <v>675.1235999999999</v>
      </c>
      <c r="H19" s="447">
        <f>'расшифровки ВО_2016'!H238</f>
        <v>542.21104032000005</v>
      </c>
      <c r="I19" s="447">
        <f>'расшифровки ВО_2016'!I238</f>
        <v>1084.4220806400001</v>
      </c>
      <c r="J19" s="447">
        <f>'расшифровки ВО_2016'!J238</f>
        <v>1157.2784026082397</v>
      </c>
      <c r="K19" s="447">
        <f>'расшифровки ВО_2016'!K238</f>
        <v>1207.0413739203941</v>
      </c>
      <c r="L19" s="447">
        <f>'расшифровки ВО_2016'!L238</f>
        <v>1258.9441529989713</v>
      </c>
      <c r="M19" s="856">
        <f>'расшифровки ВО_2016'!V238</f>
        <v>0</v>
      </c>
      <c r="N19" s="857">
        <f>'расшифровки ВО_2016'!T238</f>
        <v>0</v>
      </c>
      <c r="O19" s="855">
        <f>'расшифровки ВО_2016'!U238</f>
        <v>0</v>
      </c>
    </row>
    <row r="20" spans="1:15" ht="15.75" thickBot="1">
      <c r="A20" s="1212" t="s">
        <v>27</v>
      </c>
      <c r="B20" s="150" t="s">
        <v>29</v>
      </c>
      <c r="C20" s="151" t="s">
        <v>11</v>
      </c>
      <c r="D20" s="858"/>
      <c r="E20" s="858"/>
      <c r="F20" s="858"/>
      <c r="G20" s="858"/>
      <c r="H20" s="858"/>
      <c r="I20" s="858"/>
      <c r="J20" s="858"/>
      <c r="K20" s="858"/>
      <c r="L20" s="859"/>
      <c r="M20" s="861">
        <f>'расшифровки ВО_2016'!S256</f>
        <v>0</v>
      </c>
      <c r="N20" s="862">
        <f>'расшифровки ВО_2016'!T256</f>
        <v>0</v>
      </c>
      <c r="O20" s="860">
        <f>'расшифровки ВО_2016'!U256</f>
        <v>0</v>
      </c>
    </row>
    <row r="21" spans="1:15" ht="91.5" customHeight="1" thickTop="1" thickBot="1">
      <c r="A21" s="1211" t="s">
        <v>30</v>
      </c>
      <c r="B21" s="2839" t="s">
        <v>31</v>
      </c>
      <c r="C21" s="148" t="s">
        <v>32</v>
      </c>
      <c r="D21" s="843">
        <v>2400</v>
      </c>
      <c r="E21" s="843"/>
      <c r="F21" s="843">
        <f>'расшифровки ВО_2016'!F296</f>
        <v>58804.290899999993</v>
      </c>
      <c r="G21" s="843">
        <f>'расшифровки ВО_2016'!G296</f>
        <v>52160.806530000002</v>
      </c>
      <c r="H21" s="843">
        <v>0</v>
      </c>
      <c r="I21" s="843">
        <f>'расшифровки ВО_2016'!I294</f>
        <v>50000</v>
      </c>
      <c r="J21" s="843">
        <f>'расшифровки ВО_2016'!J296</f>
        <v>151794.69949534995</v>
      </c>
      <c r="K21" s="843">
        <f>'расшифровки ВО_2016'!K294</f>
        <v>0</v>
      </c>
      <c r="L21" s="843">
        <f>'расшифровки ВО_2016'!L294</f>
        <v>0</v>
      </c>
      <c r="M21" s="865">
        <f>'расшифровки ВО_2016'!V296</f>
        <v>0</v>
      </c>
      <c r="N21" s="866">
        <f>'расшифровки ВО_2016'!T296</f>
        <v>0</v>
      </c>
      <c r="O21" s="867">
        <f>'расшифровки ВО_2016'!U296</f>
        <v>0</v>
      </c>
    </row>
    <row r="22" spans="1:15" ht="58.5" customHeight="1" thickTop="1" thickBot="1">
      <c r="A22" s="1211" t="s">
        <v>396</v>
      </c>
      <c r="B22" s="147" t="s">
        <v>1527</v>
      </c>
      <c r="C22" s="148"/>
      <c r="D22" s="843"/>
      <c r="E22" s="843"/>
      <c r="F22" s="843"/>
      <c r="G22" s="845"/>
      <c r="H22" s="845"/>
      <c r="I22" s="845"/>
      <c r="J22" s="845">
        <f>'эксплуат. затр. по очистным'!B10/4</f>
        <v>39250.230948560005</v>
      </c>
      <c r="K22" s="845">
        <f>'эксплуат. затр. по очистным'!B10</f>
        <v>157000.92379424002</v>
      </c>
      <c r="L22" s="845">
        <f>K22*1.043</f>
        <v>163751.96351739235</v>
      </c>
      <c r="M22" s="865"/>
      <c r="N22" s="866"/>
      <c r="O22" s="867"/>
    </row>
    <row r="23" spans="1:15" ht="65.25" thickTop="1" thickBot="1">
      <c r="A23" s="1213" t="s">
        <v>33</v>
      </c>
      <c r="B23" s="142" t="s">
        <v>34</v>
      </c>
      <c r="C23" s="143" t="s">
        <v>11</v>
      </c>
      <c r="D23" s="868">
        <f>D24+D25</f>
        <v>75835.100000000006</v>
      </c>
      <c r="E23" s="868">
        <f t="shared" ref="E23:O23" si="5">E24+E25</f>
        <v>149280.64026493669</v>
      </c>
      <c r="F23" s="869">
        <f t="shared" si="5"/>
        <v>158289.89853886364</v>
      </c>
      <c r="G23" s="864">
        <f t="shared" si="5"/>
        <v>161683.15563136799</v>
      </c>
      <c r="H23" s="864">
        <f t="shared" si="5"/>
        <v>74489.749850880005</v>
      </c>
      <c r="I23" s="864">
        <f t="shared" si="5"/>
        <v>155915.27078399999</v>
      </c>
      <c r="J23" s="864">
        <f t="shared" si="5"/>
        <v>149281.81613289504</v>
      </c>
      <c r="K23" s="864">
        <f t="shared" si="5"/>
        <v>153178.94563795993</v>
      </c>
      <c r="L23" s="864">
        <f t="shared" si="5"/>
        <v>159765.6403003922</v>
      </c>
      <c r="M23" s="870">
        <f t="shared" si="5"/>
        <v>149281.81613289504</v>
      </c>
      <c r="N23" s="871">
        <f t="shared" si="5"/>
        <v>0</v>
      </c>
      <c r="O23" s="863">
        <f t="shared" si="5"/>
        <v>0</v>
      </c>
    </row>
    <row r="24" spans="1:15" ht="27" thickTop="1" thickBot="1">
      <c r="A24" s="1148" t="s">
        <v>35</v>
      </c>
      <c r="B24" s="10" t="s">
        <v>36</v>
      </c>
      <c r="C24" s="11" t="s">
        <v>11</v>
      </c>
      <c r="D24" s="843">
        <f>'Зар.плата осн.персонала'!D191</f>
        <v>58245.100000000006</v>
      </c>
      <c r="E24" s="829">
        <f>'Зар.плата осн.персонала'!E191</f>
        <v>114654.86963512802</v>
      </c>
      <c r="F24" s="829">
        <f>'Зар.плата осн.персонала'!F191</f>
        <v>121574.42284090909</v>
      </c>
      <c r="G24" s="829">
        <f>'Зар.плата осн.персонала'!G191</f>
        <v>124180.611084</v>
      </c>
      <c r="H24" s="829">
        <f>'Зар.плата осн.персонала'!H191</f>
        <v>57211.78944</v>
      </c>
      <c r="I24" s="829">
        <f>'Зар.плата осн.персонала'!I191</f>
        <v>119750.592</v>
      </c>
      <c r="J24" s="829">
        <f>'Зар.плата осн.персонала'!J191</f>
        <v>114655.77275952</v>
      </c>
      <c r="K24" s="829">
        <f>'Зар.плата осн.персонала'!K191</f>
        <v>117648.95978337935</v>
      </c>
      <c r="L24" s="829">
        <f>'Зар.плата осн.персонала'!L191</f>
        <v>122707.86505406466</v>
      </c>
      <c r="M24" s="873">
        <f>'Зар.плата осн.персонала'!M191</f>
        <v>114655.77275952</v>
      </c>
      <c r="N24" s="874">
        <f>'Зар.плата осн.персонала'!N191</f>
        <v>0</v>
      </c>
      <c r="O24" s="872">
        <f>'Зар.плата осн.персонала'!O191</f>
        <v>0</v>
      </c>
    </row>
    <row r="25" spans="1:15" ht="39.75" thickTop="1" thickBot="1">
      <c r="A25" s="1212" t="s">
        <v>37</v>
      </c>
      <c r="B25" s="150" t="s">
        <v>38</v>
      </c>
      <c r="C25" s="151" t="s">
        <v>11</v>
      </c>
      <c r="D25" s="868">
        <f>'Зар.плата осн.персонала'!D193</f>
        <v>17590</v>
      </c>
      <c r="E25" s="858">
        <f>'Зар.плата осн.персонала'!E193</f>
        <v>34625.770629808663</v>
      </c>
      <c r="F25" s="858">
        <f>'Зар.плата осн.персонала'!F193</f>
        <v>36715.475697954542</v>
      </c>
      <c r="G25" s="858">
        <f>'Зар.плата осн.персонала'!G193</f>
        <v>37502.544547368001</v>
      </c>
      <c r="H25" s="858">
        <f>'Зар.плата осн.персонала'!H193</f>
        <v>17277.960410879998</v>
      </c>
      <c r="I25" s="858">
        <f>'Зар.плата осн.персонала'!I193</f>
        <v>36164.678783999996</v>
      </c>
      <c r="J25" s="858">
        <f>'Зар.плата осн.персонала'!J193</f>
        <v>34626.04337337504</v>
      </c>
      <c r="K25" s="858">
        <f>'Зар.плата осн.персонала'!K193</f>
        <v>35529.985854580562</v>
      </c>
      <c r="L25" s="858">
        <f>'Зар.плата осн.персонала'!L193</f>
        <v>37057.775246327532</v>
      </c>
      <c r="M25" s="861">
        <f>'Зар.плата осн.персонала'!M193</f>
        <v>34626.04337337504</v>
      </c>
      <c r="N25" s="862">
        <f>'Зар.плата осн.персонала'!N193</f>
        <v>0</v>
      </c>
      <c r="O25" s="860">
        <f>'Зар.плата осн.персонала'!O193</f>
        <v>0</v>
      </c>
    </row>
    <row r="26" spans="1:15" ht="27" thickTop="1" thickBot="1">
      <c r="A26" s="1211" t="s">
        <v>40</v>
      </c>
      <c r="B26" s="147" t="s">
        <v>39</v>
      </c>
      <c r="C26" s="148" t="s">
        <v>11</v>
      </c>
      <c r="D26" s="843">
        <f>'расшифровки ВО_2016'!D311-0.02</f>
        <v>4755.9975440640001</v>
      </c>
      <c r="E26" s="843">
        <f>'расшифровка кредитов'!C106</f>
        <v>4581.8544556098004</v>
      </c>
      <c r="F26" s="843">
        <v>10180.370000000001</v>
      </c>
      <c r="G26" s="843">
        <f>'расшифровки ВО_2016'!G311</f>
        <v>13109.711537338982</v>
      </c>
      <c r="H26" s="843">
        <f>'расшифровки ВО_2016'!H311</f>
        <v>5417.9869123729995</v>
      </c>
      <c r="I26" s="843">
        <f>'расшифровки ВО_2016'!I311</f>
        <v>9884.824734877162</v>
      </c>
      <c r="J26" s="843">
        <f>'расшифровки ВО_2016'!J311</f>
        <v>17046.227650000001</v>
      </c>
      <c r="K26" s="843">
        <f>'расшифровки ВО_2016'!K311</f>
        <v>7702.916512499999</v>
      </c>
      <c r="L26" s="843">
        <f>'расшифровки ВО_2016'!L311</f>
        <v>3851.4582562499995</v>
      </c>
      <c r="M26" s="870">
        <f>'расшифровки ВО_2016'!V311</f>
        <v>0</v>
      </c>
      <c r="N26" s="866">
        <f>'расшифровки ВО_2016'!T311</f>
        <v>0</v>
      </c>
      <c r="O26" s="863">
        <f>'расшифровки ВО_2016'!U311</f>
        <v>0</v>
      </c>
    </row>
    <row r="27" spans="1:15" ht="16.5" thickTop="1" thickBot="1">
      <c r="A27" s="1214" t="s">
        <v>41</v>
      </c>
      <c r="B27" s="142" t="s">
        <v>391</v>
      </c>
      <c r="C27" s="143" t="s">
        <v>11</v>
      </c>
      <c r="D27" s="875">
        <f>36041+6210-3430.97-7105.11+14210.22</f>
        <v>45925.14</v>
      </c>
      <c r="E27" s="875">
        <v>14441.37</v>
      </c>
      <c r="F27" s="875">
        <v>30517.43</v>
      </c>
      <c r="G27" s="875">
        <v>15008.97</v>
      </c>
      <c r="H27" s="875">
        <f>'Цеховые расходы '!J64</f>
        <v>7553.5507701500637</v>
      </c>
      <c r="I27" s="875">
        <f>'Цеховые расходы '!K64</f>
        <v>15023.671320300129</v>
      </c>
      <c r="J27" s="875">
        <f>'Цеховые расходы '!L64</f>
        <v>15762.784213813629</v>
      </c>
      <c r="K27" s="875">
        <f>'Цеховые расходы '!M64</f>
        <v>16494.768785727618</v>
      </c>
      <c r="L27" s="875">
        <f>'Цеховые расходы '!N64</f>
        <v>17167.731179493905</v>
      </c>
      <c r="M27" s="877"/>
      <c r="N27" s="878"/>
      <c r="O27" s="876"/>
    </row>
    <row r="28" spans="1:15" ht="27" thickTop="1" thickBot="1">
      <c r="A28" s="1214" t="s">
        <v>42</v>
      </c>
      <c r="B28" s="142" t="s">
        <v>43</v>
      </c>
      <c r="C28" s="143" t="s">
        <v>11</v>
      </c>
      <c r="D28" s="868">
        <f>D29+D30+D31+D32+D33</f>
        <v>3460</v>
      </c>
      <c r="E28" s="868">
        <f t="shared" ref="E28:O28" si="6">E29+E30+E31+E32</f>
        <v>6055.0840326193938</v>
      </c>
      <c r="F28" s="869">
        <f t="shared" si="6"/>
        <v>4105</v>
      </c>
      <c r="G28" s="864">
        <f t="shared" si="6"/>
        <v>9056.5323926193942</v>
      </c>
      <c r="H28" s="864">
        <f t="shared" si="6"/>
        <v>6762.6975212000007</v>
      </c>
      <c r="I28" s="864">
        <f t="shared" si="6"/>
        <v>12061.157602400001</v>
      </c>
      <c r="J28" s="864">
        <f t="shared" si="6"/>
        <v>9029.6687392546464</v>
      </c>
      <c r="K28" s="864">
        <f t="shared" si="6"/>
        <v>9206.2346635699469</v>
      </c>
      <c r="L28" s="864">
        <f t="shared" si="6"/>
        <v>9381.6981654814481</v>
      </c>
      <c r="M28" s="865">
        <f t="shared" si="6"/>
        <v>0</v>
      </c>
      <c r="N28" s="871" t="e">
        <f t="shared" si="6"/>
        <v>#VALUE!</v>
      </c>
      <c r="O28" s="867">
        <f t="shared" si="6"/>
        <v>0</v>
      </c>
    </row>
    <row r="29" spans="1:15" ht="26.25" thickTop="1">
      <c r="A29" s="1148" t="s">
        <v>44</v>
      </c>
      <c r="B29" s="10" t="s">
        <v>1533</v>
      </c>
      <c r="C29" s="11" t="s">
        <v>11</v>
      </c>
      <c r="D29" s="849">
        <v>0</v>
      </c>
      <c r="E29" s="849">
        <f>'расшифровки ВО_2016'!E320</f>
        <v>0</v>
      </c>
      <c r="F29" s="849">
        <v>0</v>
      </c>
      <c r="G29" s="849">
        <f>'расшифровки ВО_2016'!G320</f>
        <v>0</v>
      </c>
      <c r="H29" s="849">
        <f>'расшифровки ВО_2016'!H293</f>
        <v>548.04178999999999</v>
      </c>
      <c r="I29" s="849">
        <f>'расшифровки ВО_2016'!I293</f>
        <v>1277.0371400000001</v>
      </c>
      <c r="J29" s="849">
        <f>'расшифровки ВО_2016'!J293</f>
        <v>1324.1685731999999</v>
      </c>
      <c r="K29" s="849">
        <f>'расшифровки ВО_2016'!K293</f>
        <v>1344.7450520549498</v>
      </c>
      <c r="L29" s="849">
        <f>'расшифровки ВО_2016'!L293</f>
        <v>1366.7454023058515</v>
      </c>
      <c r="M29" s="853">
        <v>0</v>
      </c>
      <c r="N29" s="854">
        <f>'расшифровки ВО_2016'!T320</f>
        <v>0</v>
      </c>
      <c r="O29" s="852">
        <f>'расшифровки ВО_2016'!U320</f>
        <v>0</v>
      </c>
    </row>
    <row r="30" spans="1:15" ht="30">
      <c r="A30" s="1148" t="s">
        <v>45</v>
      </c>
      <c r="B30" s="12" t="s">
        <v>46</v>
      </c>
      <c r="C30" s="13" t="s">
        <v>11</v>
      </c>
      <c r="D30" s="447">
        <f>'расшифровки ВО_2016'!D321</f>
        <v>2100</v>
      </c>
      <c r="E30" s="447">
        <f>'расшифровки ВО_2016'!E416</f>
        <v>3763.8710000000001</v>
      </c>
      <c r="F30" s="447">
        <f>'расшифровки ВО_2016'!F321</f>
        <v>3104</v>
      </c>
      <c r="G30" s="447">
        <f>'расшифровки ВО_2016'!G321</f>
        <v>6765.3193600000004</v>
      </c>
      <c r="H30" s="447">
        <f>'расшифровки ВО_2016'!H416</f>
        <v>5483.97</v>
      </c>
      <c r="I30" s="447">
        <f>'расшифровки ВО_2016'!I416</f>
        <v>9322.7489999999998</v>
      </c>
      <c r="J30" s="447">
        <f>'расшифровки ВО_2016'!J416</f>
        <v>5313.4737599999999</v>
      </c>
      <c r="K30" s="447">
        <f>'расшифровки ВО_2016'!K416</f>
        <v>5366.6060699999998</v>
      </c>
      <c r="L30" s="447">
        <f>'расшифровки ВО_2016'!L416</f>
        <v>5420.2738799999997</v>
      </c>
      <c r="M30" s="856">
        <f>'расшифровки ВО_2016'!V321</f>
        <v>0</v>
      </c>
      <c r="N30" s="857" t="str">
        <f>'расшифровки ВО_2016'!T321</f>
        <v>в амортизации</v>
      </c>
      <c r="O30" s="855">
        <f>'расшифровки ВО_2016'!U321</f>
        <v>0</v>
      </c>
    </row>
    <row r="31" spans="1:15">
      <c r="A31" s="1148" t="s">
        <v>47</v>
      </c>
      <c r="B31" s="12" t="s">
        <v>974</v>
      </c>
      <c r="C31" s="13" t="s">
        <v>11</v>
      </c>
      <c r="D31" s="447">
        <f>'расшифровки ВО_2016'!D325</f>
        <v>1360</v>
      </c>
      <c r="E31" s="447">
        <f>'расшифровки ВО_2016'!E325</f>
        <v>2291.2130326193937</v>
      </c>
      <c r="F31" s="447">
        <f>'расшифровки ВО_2016'!F325</f>
        <v>1001</v>
      </c>
      <c r="G31" s="447">
        <f>'расшифровки ВО_2016'!G325</f>
        <v>2291.2130326193937</v>
      </c>
      <c r="H31" s="447">
        <f>'расшифровки ВО_2016'!H325</f>
        <v>730.68573120000008</v>
      </c>
      <c r="I31" s="447">
        <f>'расшифровки ВО_2016'!I325</f>
        <v>1461.3714624000002</v>
      </c>
      <c r="J31" s="447">
        <f>'расшифровки ВО_2016'!J325</f>
        <v>2392.0264060546469</v>
      </c>
      <c r="K31" s="447">
        <f>'расшифровки ВО_2016'!K325</f>
        <v>2494.8835415149965</v>
      </c>
      <c r="L31" s="447">
        <f>'расшифровки ВО_2016'!L325</f>
        <v>2594.6788831755966</v>
      </c>
      <c r="M31" s="856">
        <f>'расшифровки ВО_2016'!V325</f>
        <v>0</v>
      </c>
      <c r="N31" s="857">
        <f>'расшифровки ВО_2016'!T325</f>
        <v>0</v>
      </c>
      <c r="O31" s="855">
        <f>'расшифровки ВО_2016'!U325</f>
        <v>0</v>
      </c>
    </row>
    <row r="32" spans="1:15" ht="26.25" thickBot="1">
      <c r="A32" s="1148" t="s">
        <v>48</v>
      </c>
      <c r="B32" s="16" t="s">
        <v>49</v>
      </c>
      <c r="C32" s="17" t="s">
        <v>11</v>
      </c>
      <c r="D32" s="879">
        <v>0</v>
      </c>
      <c r="E32" s="879">
        <f>'расшифровки ВО_2016'!E326</f>
        <v>0</v>
      </c>
      <c r="F32" s="879">
        <v>0</v>
      </c>
      <c r="G32" s="879">
        <v>0</v>
      </c>
      <c r="H32" s="879">
        <v>0</v>
      </c>
      <c r="I32" s="879">
        <v>0</v>
      </c>
      <c r="J32" s="879">
        <v>0</v>
      </c>
      <c r="K32" s="879">
        <v>0</v>
      </c>
      <c r="L32" s="879">
        <v>0</v>
      </c>
      <c r="M32" s="1243">
        <f>'расшифровки ВО_2016'!S326</f>
        <v>0</v>
      </c>
      <c r="N32" s="881">
        <f>'расшифровки ВО_2016'!T326</f>
        <v>0</v>
      </c>
      <c r="O32" s="1244">
        <f>'расшифровки ВО_2016'!U326</f>
        <v>0</v>
      </c>
    </row>
    <row r="33" spans="1:16" ht="15.75" thickBot="1">
      <c r="A33" s="180"/>
      <c r="B33" s="1245" t="s">
        <v>967</v>
      </c>
      <c r="C33" s="1246"/>
      <c r="D33" s="454">
        <v>0</v>
      </c>
      <c r="E33" s="454"/>
      <c r="F33" s="454"/>
      <c r="G33" s="454"/>
      <c r="H33" s="454"/>
      <c r="I33" s="454"/>
      <c r="J33" s="454"/>
      <c r="K33" s="454"/>
      <c r="L33" s="454"/>
      <c r="M33" s="1247"/>
      <c r="N33" s="1248"/>
      <c r="O33" s="1247"/>
    </row>
    <row r="34" spans="1:16" ht="15.75" thickBot="1">
      <c r="A34" s="18" t="s">
        <v>50</v>
      </c>
      <c r="B34" s="7" t="s">
        <v>51</v>
      </c>
      <c r="C34" s="19" t="s">
        <v>11</v>
      </c>
      <c r="D34" s="883">
        <f>D35+D36+D37</f>
        <v>60659.203448275861</v>
      </c>
      <c r="E34" s="883">
        <f t="shared" ref="E34:O34" si="7">E35+E36+E37</f>
        <v>19147.084251199998</v>
      </c>
      <c r="F34" s="883">
        <f t="shared" si="7"/>
        <v>23906.55411248</v>
      </c>
      <c r="G34" s="883">
        <f t="shared" si="7"/>
        <v>27941.667134399999</v>
      </c>
      <c r="H34" s="883">
        <f t="shared" si="7"/>
        <v>10345.865567999997</v>
      </c>
      <c r="I34" s="883">
        <f t="shared" si="7"/>
        <v>24610.114120000002</v>
      </c>
      <c r="J34" s="883">
        <f t="shared" si="7"/>
        <v>30091.311472000001</v>
      </c>
      <c r="K34" s="883">
        <f t="shared" si="7"/>
        <v>41307.512365296003</v>
      </c>
      <c r="L34" s="883">
        <f t="shared" si="7"/>
        <v>27989.820473003732</v>
      </c>
      <c r="M34" s="883">
        <f t="shared" si="7"/>
        <v>0</v>
      </c>
      <c r="N34" s="885" t="e">
        <f t="shared" si="7"/>
        <v>#VALUE!</v>
      </c>
      <c r="O34" s="884">
        <f t="shared" si="7"/>
        <v>0</v>
      </c>
    </row>
    <row r="35" spans="1:16" ht="51.75" thickBot="1">
      <c r="A35" s="1216" t="s">
        <v>52</v>
      </c>
      <c r="B35" s="139" t="s">
        <v>519</v>
      </c>
      <c r="C35" s="140" t="s">
        <v>11</v>
      </c>
      <c r="D35" s="886">
        <f>'расшифровки ВО_2016'!D343</f>
        <v>8359.7999999999993</v>
      </c>
      <c r="E35" s="886">
        <f>'расшифровки ВО_2016'!E343</f>
        <v>6490.6</v>
      </c>
      <c r="F35" s="886">
        <f>'расшифровки ВО_2016'!F343</f>
        <v>8632.2999999999993</v>
      </c>
      <c r="G35" s="886">
        <f>'расшифровки ВО_2016'!G343</f>
        <v>8947.9</v>
      </c>
      <c r="H35" s="886">
        <f>'расшифровки ВО_2016'!H343</f>
        <v>3863.4332639999993</v>
      </c>
      <c r="I35" s="886">
        <f>'расшифровки ВО_2016'!I343</f>
        <v>8497</v>
      </c>
      <c r="J35" s="886">
        <f>'расшифровки ВО_2016'!J343</f>
        <v>10862.6</v>
      </c>
      <c r="K35" s="886">
        <f>'расшифровки ВО_2016'!K343</f>
        <v>11329.69</v>
      </c>
      <c r="L35" s="886">
        <f>'расшифровки ВО_2016'!L343</f>
        <v>11816.86</v>
      </c>
      <c r="M35" s="847">
        <f>'расшифровки ВО_2016'!V343</f>
        <v>0</v>
      </c>
      <c r="N35" s="848">
        <f>'расшифровки ВО_2016'!T343</f>
        <v>0</v>
      </c>
      <c r="O35" s="846">
        <f>'расшифровки ВО_2016'!U343</f>
        <v>0</v>
      </c>
    </row>
    <row r="36" spans="1:16" ht="52.5" thickTop="1" thickBot="1">
      <c r="A36" s="1214" t="s">
        <v>54</v>
      </c>
      <c r="B36" s="142" t="s">
        <v>522</v>
      </c>
      <c r="C36" s="143" t="s">
        <v>11</v>
      </c>
      <c r="D36" s="868">
        <f>'расшифровки ВО_2016'!D351</f>
        <v>49684.4</v>
      </c>
      <c r="E36" s="868">
        <f>'расшифровки ВО_2016'!E351</f>
        <v>7893.1359999999986</v>
      </c>
      <c r="F36" s="868">
        <f>'расшифровки ВО_2016'!F351</f>
        <v>10011.700000000001</v>
      </c>
      <c r="G36" s="868">
        <f>'расшифровки ВО_2016'!G351</f>
        <v>13841.9</v>
      </c>
      <c r="H36" s="868">
        <f>'расшифровки ВО_2016'!H343</f>
        <v>3863.4332639999993</v>
      </c>
      <c r="I36" s="868">
        <f>'расшифровки ВО_2016'!H351</f>
        <v>10933.263360000001</v>
      </c>
      <c r="J36" s="868">
        <f>'расшифровки ВО_2016'!I351</f>
        <v>13841.9</v>
      </c>
      <c r="K36" s="868">
        <f>'расшифровки ВО_2016'!J351</f>
        <v>24359.378000000001</v>
      </c>
      <c r="L36" s="868">
        <f>'расшифровки ВО_2016'!K351</f>
        <v>10312.923000000001</v>
      </c>
      <c r="M36" s="870">
        <f>'расшифровки ВО_2016'!V351</f>
        <v>0</v>
      </c>
      <c r="N36" s="871" t="str">
        <f>'расшифровки ВО_2016'!T351</f>
        <v xml:space="preserve"> за счёт амортизации</v>
      </c>
      <c r="O36" s="863">
        <f>'расшифровки ВО_2016'!U351</f>
        <v>0</v>
      </c>
      <c r="P36" t="s">
        <v>1091</v>
      </c>
    </row>
    <row r="37" spans="1:16" ht="52.5" thickTop="1" thickBot="1">
      <c r="A37" s="1214" t="s">
        <v>56</v>
      </c>
      <c r="B37" s="142" t="s">
        <v>57</v>
      </c>
      <c r="C37" s="143" t="s">
        <v>11</v>
      </c>
      <c r="D37" s="868">
        <f>D38+D39</f>
        <v>2615.0034482758624</v>
      </c>
      <c r="E37" s="868">
        <f t="shared" ref="E37:O37" si="8">E38+E39</f>
        <v>4763.3482511999991</v>
      </c>
      <c r="F37" s="868">
        <f t="shared" si="8"/>
        <v>5262.5541124800002</v>
      </c>
      <c r="G37" s="864">
        <f t="shared" si="8"/>
        <v>5151.8671344000004</v>
      </c>
      <c r="H37" s="864">
        <f t="shared" si="8"/>
        <v>2618.9990399999997</v>
      </c>
      <c r="I37" s="864">
        <f t="shared" si="8"/>
        <v>5179.8507600000003</v>
      </c>
      <c r="J37" s="864">
        <f t="shared" si="8"/>
        <v>5386.8114720000003</v>
      </c>
      <c r="K37" s="864">
        <f t="shared" si="8"/>
        <v>5618.4443652959999</v>
      </c>
      <c r="L37" s="864">
        <f t="shared" si="8"/>
        <v>5860.0374730037274</v>
      </c>
      <c r="M37" s="870">
        <f t="shared" si="8"/>
        <v>0</v>
      </c>
      <c r="N37" s="871">
        <f t="shared" si="8"/>
        <v>0</v>
      </c>
      <c r="O37" s="863">
        <f t="shared" si="8"/>
        <v>0</v>
      </c>
    </row>
    <row r="38" spans="1:16" ht="26.25" thickTop="1">
      <c r="A38" s="1148" t="s">
        <v>58</v>
      </c>
      <c r="B38" s="10" t="s">
        <v>59</v>
      </c>
      <c r="C38" s="11" t="s">
        <v>11</v>
      </c>
      <c r="D38" s="849">
        <f>D24/87*3</f>
        <v>2008.4517241379313</v>
      </c>
      <c r="E38" s="849">
        <f>'Зар.плата осн.персонала'!E265</f>
        <v>3658.4855999999995</v>
      </c>
      <c r="F38" s="849">
        <f>'Зар.плата осн.персонала'!F265</f>
        <v>4041.9002400000004</v>
      </c>
      <c r="G38" s="849">
        <f>'Зар.плата осн.персонала'!G265</f>
        <v>3956.8872000000001</v>
      </c>
      <c r="H38" s="849">
        <f>'Зар.плата осн.персонала'!H265</f>
        <v>2011.52</v>
      </c>
      <c r="I38" s="849">
        <f>'Зар.плата осн.персонала'!I265</f>
        <v>3978.38</v>
      </c>
      <c r="J38" s="849">
        <f>'Зар.плата осн.персонала'!J265</f>
        <v>4137.3360000000002</v>
      </c>
      <c r="K38" s="849">
        <f>'Зар.плата осн.персонала'!K265</f>
        <v>4315.2414479999998</v>
      </c>
      <c r="L38" s="849">
        <f>'Зар.плата осн.персонала'!L265</f>
        <v>4500.7968302639993</v>
      </c>
      <c r="M38" s="853">
        <f>'расшифровки ВО_2016'!S359</f>
        <v>0</v>
      </c>
      <c r="N38" s="854">
        <f>'расшифровки ВО_2016'!T359</f>
        <v>0</v>
      </c>
      <c r="O38" s="852">
        <f>'расшифровки ВО_2016'!U359</f>
        <v>0</v>
      </c>
    </row>
    <row r="39" spans="1:16" ht="39" thickBot="1">
      <c r="A39" s="1215" t="s">
        <v>60</v>
      </c>
      <c r="B39" s="16" t="s">
        <v>61</v>
      </c>
      <c r="C39" s="17" t="s">
        <v>11</v>
      </c>
      <c r="D39" s="879">
        <f>D25/87*3</f>
        <v>606.55172413793105</v>
      </c>
      <c r="E39" s="879">
        <f>'Зар.плата осн.персонала'!E267</f>
        <v>1104.8626511999998</v>
      </c>
      <c r="F39" s="879">
        <f>'Зар.плата осн.персонала'!F267</f>
        <v>1220.6538724800002</v>
      </c>
      <c r="G39" s="879">
        <f>'расшифровки ВО_2016'!G360</f>
        <v>1194.9799344</v>
      </c>
      <c r="H39" s="879">
        <f>'Зар.плата осн.персонала'!H267</f>
        <v>607.47903999999994</v>
      </c>
      <c r="I39" s="879">
        <f>'Зар.плата осн.персонала'!I267</f>
        <v>1201.4707599999999</v>
      </c>
      <c r="J39" s="879">
        <f>'Зар.плата осн.персонала'!J267</f>
        <v>1249.4754720000001</v>
      </c>
      <c r="K39" s="879">
        <f>'Зар.плата осн.персонала'!K267</f>
        <v>1303.2029172959999</v>
      </c>
      <c r="L39" s="879">
        <f>'Зар.плата осн.персонала'!L267</f>
        <v>1359.2406427397277</v>
      </c>
      <c r="M39" s="880">
        <f>'расшифровки ВО_2016'!S360</f>
        <v>0</v>
      </c>
      <c r="N39" s="881">
        <f>'расшифровки ВО_2016'!T360</f>
        <v>0</v>
      </c>
      <c r="O39" s="882">
        <f>'расшифровки ВО_2016'!U360</f>
        <v>0</v>
      </c>
    </row>
    <row r="40" spans="1:16" ht="15.75" thickBot="1">
      <c r="A40" s="20" t="s">
        <v>62</v>
      </c>
      <c r="B40" s="7" t="s">
        <v>63</v>
      </c>
      <c r="C40" s="7" t="s">
        <v>11</v>
      </c>
      <c r="D40" s="887">
        <f>D41+D49+D52+D53+D54+D55+D56</f>
        <v>18770.43</v>
      </c>
      <c r="E40" s="887">
        <f>E41+E49+E52+E53+E54+E55+E56</f>
        <v>28174.500000000004</v>
      </c>
      <c r="F40" s="887">
        <f>F41+F49+F52+F53+F54+F55+F56</f>
        <v>26059.64</v>
      </c>
      <c r="G40" s="887">
        <f t="shared" ref="G40:O40" si="9">G41+G49+G52+G53+G54+G55+G56</f>
        <v>31336.77</v>
      </c>
      <c r="H40" s="887">
        <f t="shared" si="9"/>
        <v>17387.155626600001</v>
      </c>
      <c r="I40" s="887">
        <f t="shared" si="9"/>
        <v>36456.44584375</v>
      </c>
      <c r="J40" s="887">
        <f t="shared" si="9"/>
        <v>31356.86717256275</v>
      </c>
      <c r="K40" s="887">
        <f t="shared" si="9"/>
        <v>28230.087305949546</v>
      </c>
      <c r="L40" s="887">
        <f t="shared" si="9"/>
        <v>29443.98106010538</v>
      </c>
      <c r="M40" s="889">
        <f t="shared" si="9"/>
        <v>0</v>
      </c>
      <c r="N40" s="890">
        <f t="shared" si="9"/>
        <v>0</v>
      </c>
      <c r="O40" s="888">
        <f t="shared" si="9"/>
        <v>0</v>
      </c>
    </row>
    <row r="41" spans="1:16" ht="39" thickBot="1">
      <c r="A41" s="1217" t="s">
        <v>64</v>
      </c>
      <c r="B41" s="153" t="s">
        <v>65</v>
      </c>
      <c r="C41" s="154" t="s">
        <v>11</v>
      </c>
      <c r="D41" s="891">
        <f>SUM(D42:D48)</f>
        <v>3545.04</v>
      </c>
      <c r="E41" s="891">
        <f>SUM(E42:E48)</f>
        <v>2969.7299999999996</v>
      </c>
      <c r="F41" s="891">
        <f>SUM(F42:F48)</f>
        <v>2301.3200000000002</v>
      </c>
      <c r="G41" s="892">
        <f t="shared" ref="G41:O41" si="10">SUM(G42:G48)</f>
        <v>3103.36</v>
      </c>
      <c r="H41" s="892">
        <f t="shared" si="10"/>
        <v>2083.1368000000002</v>
      </c>
      <c r="I41" s="892">
        <f t="shared" si="10"/>
        <v>4786.9289616000005</v>
      </c>
      <c r="J41" s="892">
        <f t="shared" si="10"/>
        <v>4381.9272727999996</v>
      </c>
      <c r="K41" s="892">
        <f t="shared" si="10"/>
        <v>0</v>
      </c>
      <c r="L41" s="892">
        <f t="shared" si="10"/>
        <v>0</v>
      </c>
      <c r="M41" s="894">
        <f t="shared" si="10"/>
        <v>0</v>
      </c>
      <c r="N41" s="895">
        <f t="shared" si="10"/>
        <v>0</v>
      </c>
      <c r="O41" s="893">
        <f t="shared" si="10"/>
        <v>0</v>
      </c>
    </row>
    <row r="42" spans="1:16" ht="15.75" thickTop="1">
      <c r="A42" s="1218" t="s">
        <v>66</v>
      </c>
      <c r="B42" s="10" t="s">
        <v>67</v>
      </c>
      <c r="C42" s="3" t="s">
        <v>11</v>
      </c>
      <c r="D42" s="849">
        <v>1009.51</v>
      </c>
      <c r="E42" s="849">
        <v>769.15</v>
      </c>
      <c r="F42" s="850">
        <v>512.72</v>
      </c>
      <c r="G42" s="851">
        <v>803.77</v>
      </c>
      <c r="H42" s="851">
        <f>'Админ. расх. (2)'!O11</f>
        <v>880.67701</v>
      </c>
      <c r="I42" s="851">
        <f>'Админ. расх. (2)'!P11</f>
        <v>1761.35402</v>
      </c>
      <c r="J42" s="851">
        <f>'Админ. расх. (2)'!Q11</f>
        <v>1840.6149508999999</v>
      </c>
      <c r="K42" s="851">
        <f>'Админ. расх. (2)'!R11</f>
        <v>0</v>
      </c>
      <c r="L42" s="851">
        <f>'Админ. расх. (2)'!S11</f>
        <v>0</v>
      </c>
      <c r="M42" s="853"/>
      <c r="N42" s="854"/>
      <c r="O42" s="852"/>
    </row>
    <row r="43" spans="1:16">
      <c r="A43" s="537" t="s">
        <v>68</v>
      </c>
      <c r="B43" s="12" t="s">
        <v>69</v>
      </c>
      <c r="C43" s="3" t="s">
        <v>11</v>
      </c>
      <c r="D43" s="849">
        <v>882</v>
      </c>
      <c r="E43" s="849">
        <v>286.66000000000003</v>
      </c>
      <c r="F43" s="850">
        <v>605.20000000000005</v>
      </c>
      <c r="G43" s="851">
        <v>299.56</v>
      </c>
      <c r="H43" s="851">
        <f>'Админ. расх. (2)'!O12</f>
        <v>215.07177999999999</v>
      </c>
      <c r="I43" s="851">
        <f>'Админ. расх. (2)'!P12</f>
        <v>430.14355999999998</v>
      </c>
      <c r="J43" s="851">
        <f>'Админ. расх. (2)'!Q12</f>
        <v>449.50002019999994</v>
      </c>
      <c r="K43" s="851">
        <f>'Админ. расх. (2)'!R12</f>
        <v>0</v>
      </c>
      <c r="L43" s="851">
        <f>'Админ. расх. (2)'!S12</f>
        <v>0</v>
      </c>
      <c r="M43" s="853"/>
      <c r="N43" s="854"/>
      <c r="O43" s="852"/>
    </row>
    <row r="44" spans="1:16">
      <c r="A44" s="537" t="s">
        <v>70</v>
      </c>
      <c r="B44" s="12" t="s">
        <v>71</v>
      </c>
      <c r="C44" s="3" t="s">
        <v>11</v>
      </c>
      <c r="D44" s="849">
        <v>504</v>
      </c>
      <c r="E44" s="849">
        <v>460.15</v>
      </c>
      <c r="F44" s="850">
        <v>408</v>
      </c>
      <c r="G44" s="851">
        <v>480.85</v>
      </c>
      <c r="H44" s="851">
        <f>'Админ. расх. (2)'!O13</f>
        <v>0</v>
      </c>
      <c r="I44" s="851">
        <f>'Админ. расх. (2)'!P13</f>
        <v>1475</v>
      </c>
      <c r="J44" s="851">
        <f>'Админ. расх. (2)'!Q13</f>
        <v>1541.375</v>
      </c>
      <c r="K44" s="851">
        <f>'Админ. расх. (2)'!R13</f>
        <v>0</v>
      </c>
      <c r="L44" s="851">
        <f>'Админ. расх. (2)'!S13</f>
        <v>0</v>
      </c>
      <c r="M44" s="853"/>
      <c r="N44" s="854"/>
      <c r="O44" s="852"/>
    </row>
    <row r="45" spans="1:16">
      <c r="A45" s="537" t="s">
        <v>72</v>
      </c>
      <c r="B45" s="12" t="s">
        <v>73</v>
      </c>
      <c r="C45" s="3" t="s">
        <v>11</v>
      </c>
      <c r="D45" s="849">
        <v>273.83</v>
      </c>
      <c r="E45" s="849">
        <v>598.08000000000004</v>
      </c>
      <c r="F45" s="850">
        <v>0</v>
      </c>
      <c r="G45" s="851">
        <v>624.99</v>
      </c>
      <c r="H45" s="851">
        <f>'Админ. расх. (2)'!O14</f>
        <v>263.36713000000003</v>
      </c>
      <c r="I45" s="851">
        <f>'Админ. расх. (2)'!P14</f>
        <v>526.73426000000006</v>
      </c>
      <c r="J45" s="851">
        <f>'Админ. расх. (2)'!Q14</f>
        <v>550.43730170000003</v>
      </c>
      <c r="K45" s="851">
        <f>'Админ. расх. (2)'!R14</f>
        <v>0</v>
      </c>
      <c r="L45" s="851">
        <f>'Админ. расх. (2)'!S14</f>
        <v>0</v>
      </c>
      <c r="M45" s="853"/>
      <c r="N45" s="854"/>
      <c r="O45" s="852"/>
    </row>
    <row r="46" spans="1:16" ht="38.25">
      <c r="A46" s="537" t="s">
        <v>74</v>
      </c>
      <c r="B46" s="12" t="s">
        <v>1521</v>
      </c>
      <c r="C46" s="3" t="s">
        <v>11</v>
      </c>
      <c r="D46" s="849">
        <v>260.39999999999998</v>
      </c>
      <c r="E46" s="849">
        <v>266.52999999999997</v>
      </c>
      <c r="F46" s="850">
        <v>249.9</v>
      </c>
      <c r="G46" s="851">
        <v>278.52</v>
      </c>
      <c r="H46" s="851">
        <f>'Админ. расх. (2)'!O15</f>
        <v>0</v>
      </c>
      <c r="I46" s="851">
        <f>'Админ. расх. (2)'!P15*0.41</f>
        <v>0</v>
      </c>
      <c r="J46" s="852">
        <f>'Админ. расх. (2)'!S15</f>
        <v>0</v>
      </c>
      <c r="K46" s="852">
        <f>'Админ. расх. (2)'!V15</f>
        <v>0</v>
      </c>
      <c r="L46" s="852">
        <f>'Админ. расх. (2)'!Y15</f>
        <v>0</v>
      </c>
      <c r="M46" s="853"/>
      <c r="N46" s="854"/>
      <c r="O46" s="852"/>
    </row>
    <row r="47" spans="1:16">
      <c r="A47" s="537" t="s">
        <v>76</v>
      </c>
      <c r="B47" s="12" t="s">
        <v>77</v>
      </c>
      <c r="C47" s="3" t="s">
        <v>11</v>
      </c>
      <c r="D47" s="849">
        <v>615.29999999999995</v>
      </c>
      <c r="E47" s="849">
        <v>589.16</v>
      </c>
      <c r="F47" s="850">
        <v>525.5</v>
      </c>
      <c r="G47" s="851">
        <v>615.66999999999996</v>
      </c>
      <c r="H47" s="851">
        <f>'Админ. расх. (2)'!O16</f>
        <v>724.02088000000003</v>
      </c>
      <c r="I47" s="851">
        <f>'Админ. расх. (2)'!P16*0.41</f>
        <v>593.69712159999995</v>
      </c>
      <c r="J47" s="852">
        <f>'Админ. расх. (2)'!S16</f>
        <v>0</v>
      </c>
      <c r="K47" s="852">
        <f>'Админ. расх. (2)'!V16</f>
        <v>0</v>
      </c>
      <c r="L47" s="852">
        <f>'Админ. расх. (2)'!Y16</f>
        <v>0</v>
      </c>
      <c r="M47" s="853"/>
      <c r="N47" s="854"/>
      <c r="O47" s="852"/>
    </row>
    <row r="48" spans="1:16" ht="15.75" thickBot="1">
      <c r="A48" s="1219" t="s">
        <v>78</v>
      </c>
      <c r="B48" s="150" t="s">
        <v>79</v>
      </c>
      <c r="C48" s="152" t="s">
        <v>11</v>
      </c>
      <c r="D48" s="849"/>
      <c r="E48" s="858"/>
      <c r="F48" s="850"/>
      <c r="G48" s="851"/>
      <c r="H48" s="851"/>
      <c r="I48" s="851"/>
      <c r="J48" s="852"/>
      <c r="K48" s="852"/>
      <c r="L48" s="852"/>
      <c r="M48" s="853"/>
      <c r="N48" s="854"/>
      <c r="O48" s="852"/>
    </row>
    <row r="49" spans="1:15" ht="65.25" thickTop="1" thickBot="1">
      <c r="A49" s="1220" t="s">
        <v>80</v>
      </c>
      <c r="B49" s="142" t="s">
        <v>81</v>
      </c>
      <c r="C49" s="144" t="s">
        <v>11</v>
      </c>
      <c r="D49" s="868">
        <f>D50+D51</f>
        <v>8716.68</v>
      </c>
      <c r="E49" s="868">
        <f t="shared" ref="E49:O49" si="11">E50+E51</f>
        <v>19693.560000000001</v>
      </c>
      <c r="F49" s="869">
        <f t="shared" si="11"/>
        <v>18038.18</v>
      </c>
      <c r="G49" s="864">
        <f t="shared" si="11"/>
        <v>21870.61</v>
      </c>
      <c r="H49" s="864">
        <f t="shared" si="11"/>
        <v>11763.341499</v>
      </c>
      <c r="I49" s="864">
        <f t="shared" si="11"/>
        <v>24588.16222695</v>
      </c>
      <c r="J49" s="864">
        <f t="shared" si="11"/>
        <v>26974.93989976275</v>
      </c>
      <c r="K49" s="864">
        <f t="shared" si="11"/>
        <v>28230.087305949546</v>
      </c>
      <c r="L49" s="864">
        <f t="shared" si="11"/>
        <v>29443.98106010538</v>
      </c>
      <c r="M49" s="870">
        <f t="shared" si="11"/>
        <v>0</v>
      </c>
      <c r="N49" s="871">
        <f t="shared" si="11"/>
        <v>0</v>
      </c>
      <c r="O49" s="863">
        <f t="shared" si="11"/>
        <v>0</v>
      </c>
    </row>
    <row r="50" spans="1:15" ht="39" thickTop="1">
      <c r="A50" s="1218" t="s">
        <v>82</v>
      </c>
      <c r="B50" s="10" t="s">
        <v>83</v>
      </c>
      <c r="C50" s="3" t="s">
        <v>11</v>
      </c>
      <c r="D50" s="849">
        <v>6694.84</v>
      </c>
      <c r="E50" s="849">
        <v>15125.62</v>
      </c>
      <c r="F50" s="850">
        <v>13854.21</v>
      </c>
      <c r="G50" s="851">
        <v>16797.7</v>
      </c>
      <c r="H50" s="851">
        <f>'Админ. расх. (2)'!O22</f>
        <v>9034.8245000000006</v>
      </c>
      <c r="I50" s="851">
        <f>'Админ. расх. (2)'!P22</f>
        <v>18884.917225000001</v>
      </c>
      <c r="J50" s="851">
        <f>'Админ. расх. (2)'!S22</f>
        <v>20718.079800125</v>
      </c>
      <c r="K50" s="851">
        <f>'Админ. расх. (2)'!V22</f>
        <v>21682.094705030373</v>
      </c>
      <c r="L50" s="851">
        <f>'Админ. расх. (2)'!X22</f>
        <v>22614.424777346681</v>
      </c>
      <c r="M50" s="853"/>
      <c r="N50" s="854"/>
      <c r="O50" s="852"/>
    </row>
    <row r="51" spans="1:15" ht="51.75" thickBot="1">
      <c r="A51" s="1219" t="s">
        <v>85</v>
      </c>
      <c r="B51" s="150" t="s">
        <v>84</v>
      </c>
      <c r="C51" s="152" t="s">
        <v>11</v>
      </c>
      <c r="D51" s="849">
        <v>2021.84</v>
      </c>
      <c r="E51" s="849">
        <v>4567.9399999999996</v>
      </c>
      <c r="F51" s="896">
        <v>4183.97</v>
      </c>
      <c r="G51" s="897">
        <v>5072.91</v>
      </c>
      <c r="H51" s="851">
        <f>'Админ. расх. (2)'!O40</f>
        <v>2728.5169989999999</v>
      </c>
      <c r="I51" s="851">
        <f>'Админ. расх. (2)'!P40</f>
        <v>5703.2450019499993</v>
      </c>
      <c r="J51" s="851">
        <f>'Админ. расх. (2)'!S40</f>
        <v>6256.8600996377509</v>
      </c>
      <c r="K51" s="851">
        <f>'Админ. расх. (2)'!V40</f>
        <v>6547.9926009191722</v>
      </c>
      <c r="L51" s="851">
        <f>'Админ. расх. (2)'!Y40</f>
        <v>6829.5562827586973</v>
      </c>
      <c r="M51" s="853"/>
      <c r="N51" s="898"/>
      <c r="O51" s="899"/>
    </row>
    <row r="52" spans="1:15" ht="78" thickTop="1" thickBot="1">
      <c r="A52" s="1220" t="s">
        <v>86</v>
      </c>
      <c r="B52" s="142" t="s">
        <v>87</v>
      </c>
      <c r="C52" s="144" t="s">
        <v>11</v>
      </c>
      <c r="D52" s="972">
        <v>63</v>
      </c>
      <c r="E52" s="972">
        <v>24.6</v>
      </c>
      <c r="F52" s="973">
        <v>3.93</v>
      </c>
      <c r="G52" s="971">
        <v>25.71</v>
      </c>
      <c r="H52" s="971">
        <f>'Админ. расх. (2)'!O43*0.41</f>
        <v>2.3615999999999997</v>
      </c>
      <c r="I52" s="971">
        <f>'Админ. расх. (2)'!P43*0.41</f>
        <v>4.7231999999999994</v>
      </c>
      <c r="J52" s="969">
        <f>'Админ. расх. (2)'!S43</f>
        <v>0</v>
      </c>
      <c r="K52" s="970">
        <f>'Админ. расх. (2)'!V43</f>
        <v>0</v>
      </c>
      <c r="L52" s="971">
        <f>'Админ. расх. (2)'!X43</f>
        <v>0</v>
      </c>
      <c r="M52" s="1366"/>
      <c r="N52" s="901"/>
      <c r="O52" s="900"/>
    </row>
    <row r="53" spans="1:15" ht="30.75" customHeight="1" thickTop="1" thickBot="1">
      <c r="A53" s="1221" t="s">
        <v>88</v>
      </c>
      <c r="B53" s="142" t="s">
        <v>89</v>
      </c>
      <c r="C53" s="144" t="s">
        <v>11</v>
      </c>
      <c r="D53" s="972">
        <v>365.95</v>
      </c>
      <c r="E53" s="972">
        <v>347.61</v>
      </c>
      <c r="F53" s="973">
        <v>179.35</v>
      </c>
      <c r="G53" s="971">
        <v>363.25</v>
      </c>
      <c r="H53" s="971">
        <f>'Админ. расх. (2)'!O44*0.41</f>
        <v>137.89820280000001</v>
      </c>
      <c r="I53" s="971">
        <f>'Админ. расх. (2)'!P44*0.41</f>
        <v>275.79640560000001</v>
      </c>
      <c r="J53" s="969">
        <f>'Админ. расх. (2)'!S44</f>
        <v>0</v>
      </c>
      <c r="K53" s="970">
        <f>'Админ. расх. (2)'!V44</f>
        <v>0</v>
      </c>
      <c r="L53" s="971">
        <f>'Админ. расх. (2)'!X44</f>
        <v>0</v>
      </c>
      <c r="M53" s="1364"/>
      <c r="N53" s="901"/>
      <c r="O53" s="900"/>
    </row>
    <row r="54" spans="1:15" ht="16.5" thickTop="1" thickBot="1">
      <c r="A54" s="1221" t="s">
        <v>90</v>
      </c>
      <c r="B54" s="142" t="s">
        <v>91</v>
      </c>
      <c r="C54" s="144" t="s">
        <v>11</v>
      </c>
      <c r="D54" s="972">
        <v>385.36</v>
      </c>
      <c r="E54" s="972">
        <v>206.24</v>
      </c>
      <c r="F54" s="973">
        <v>552.4</v>
      </c>
      <c r="G54" s="971">
        <v>215.52</v>
      </c>
      <c r="H54" s="971">
        <f>'Админ. расх. (2)'!O45*0.41</f>
        <v>249.25129999999996</v>
      </c>
      <c r="I54" s="971">
        <f>'Админ. расх. (2)'!P45*0.41</f>
        <v>498.50259999999992</v>
      </c>
      <c r="J54" s="969">
        <f>'Админ. расх. (2)'!S45</f>
        <v>0</v>
      </c>
      <c r="K54" s="970">
        <f>'Админ. расх. (2)'!V45</f>
        <v>0</v>
      </c>
      <c r="L54" s="971">
        <f>'Админ. расх. (2)'!Y45</f>
        <v>0</v>
      </c>
      <c r="M54" s="1364"/>
      <c r="N54" s="901"/>
      <c r="O54" s="900"/>
    </row>
    <row r="55" spans="1:15" ht="27" thickTop="1" thickBot="1">
      <c r="A55" s="1221" t="s">
        <v>92</v>
      </c>
      <c r="B55" s="142" t="s">
        <v>93</v>
      </c>
      <c r="C55" s="144" t="s">
        <v>11</v>
      </c>
      <c r="D55" s="972">
        <v>94.4</v>
      </c>
      <c r="E55" s="972">
        <v>99.63</v>
      </c>
      <c r="F55" s="973">
        <v>45.9</v>
      </c>
      <c r="G55" s="971">
        <v>104.12</v>
      </c>
      <c r="H55" s="971">
        <f>'Админ. расх. (2)'!O46*0.41</f>
        <v>20.419361200000001</v>
      </c>
      <c r="I55" s="971">
        <f>'Админ. расх. (2)'!P46*0.41</f>
        <v>40.838722400000002</v>
      </c>
      <c r="J55" s="969">
        <f>'Админ. расх. (2)'!S46</f>
        <v>0</v>
      </c>
      <c r="K55" s="970">
        <f>'Админ. расх. (2)'!V46</f>
        <v>0</v>
      </c>
      <c r="L55" s="971">
        <f>'Админ. расх. (2)'!Y46</f>
        <v>0</v>
      </c>
      <c r="M55" s="1364"/>
      <c r="N55" s="901"/>
      <c r="O55" s="900"/>
    </row>
    <row r="56" spans="1:15" ht="27" thickTop="1" thickBot="1">
      <c r="A56" s="1360" t="s">
        <v>94</v>
      </c>
      <c r="B56" s="1361" t="s">
        <v>95</v>
      </c>
      <c r="C56" s="1362" t="s">
        <v>11</v>
      </c>
      <c r="D56" s="972">
        <f>D57+D58</f>
        <v>5600</v>
      </c>
      <c r="E56" s="972">
        <f t="shared" ref="E56:L56" si="12">E57+E58</f>
        <v>4833.13</v>
      </c>
      <c r="F56" s="972">
        <f t="shared" si="12"/>
        <v>4938.5599999999995</v>
      </c>
      <c r="G56" s="972">
        <v>5654.2</v>
      </c>
      <c r="H56" s="972">
        <f t="shared" ref="H56:K56" si="13">H57+H58</f>
        <v>3130.7468635999999</v>
      </c>
      <c r="I56" s="972">
        <f t="shared" si="13"/>
        <v>6261.4937271999997</v>
      </c>
      <c r="J56" s="972">
        <f t="shared" si="13"/>
        <v>0</v>
      </c>
      <c r="K56" s="972">
        <f t="shared" si="13"/>
        <v>0</v>
      </c>
      <c r="L56" s="972">
        <f t="shared" si="12"/>
        <v>0</v>
      </c>
      <c r="M56" s="1363"/>
      <c r="N56" s="1363"/>
      <c r="O56" s="1363"/>
    </row>
    <row r="57" spans="1:15" ht="24" customHeight="1" thickTop="1" thickBot="1">
      <c r="A57" s="235" t="s">
        <v>96</v>
      </c>
      <c r="B57" s="281" t="s">
        <v>1100</v>
      </c>
      <c r="C57" s="384" t="s">
        <v>11</v>
      </c>
      <c r="D57" s="1272"/>
      <c r="E57" s="1272"/>
      <c r="F57" s="1273">
        <v>34.4</v>
      </c>
      <c r="G57" s="1791">
        <v>197.44</v>
      </c>
      <c r="H57" s="1791">
        <f>('Админ. расх. (2)'!O48+'Админ. расх. (2)'!O49)*0.41</f>
        <v>414.62806360000002</v>
      </c>
      <c r="I57" s="1791">
        <f>('Админ. расх. (2)'!P48+'Админ. расх. (2)'!P49)*0.41</f>
        <v>829.25612720000004</v>
      </c>
      <c r="J57" s="1792">
        <f>'Админ. расх. (2)'!S48+'Админ. расх. (2)'!S49</f>
        <v>0</v>
      </c>
      <c r="K57" s="1272">
        <f>'Админ. расх. (2)'!V48+'Админ. расх. (2)'!V49</f>
        <v>0</v>
      </c>
      <c r="L57" s="1272">
        <f>'Админ. расх. (2)'!Y48+'Админ. расх. (2)'!Y49</f>
        <v>0</v>
      </c>
      <c r="M57" s="1365"/>
      <c r="N57" s="1276"/>
      <c r="O57" s="1276"/>
    </row>
    <row r="58" spans="1:15" ht="27" thickTop="1" thickBot="1">
      <c r="A58" s="235" t="s">
        <v>97</v>
      </c>
      <c r="B58" s="219" t="s">
        <v>98</v>
      </c>
      <c r="C58" s="384" t="s">
        <v>11</v>
      </c>
      <c r="D58" s="1272">
        <v>5600</v>
      </c>
      <c r="E58" s="1272">
        <v>4833.13</v>
      </c>
      <c r="F58" s="1273">
        <v>4904.16</v>
      </c>
      <c r="G58" s="1791">
        <v>5456.76</v>
      </c>
      <c r="H58" s="1791">
        <f>'Админ. расх. (2)'!O53*0.41</f>
        <v>2716.1187999999997</v>
      </c>
      <c r="I58" s="1791">
        <f>'Админ. расх. (2)'!P53*0.41</f>
        <v>5432.2375999999995</v>
      </c>
      <c r="J58" s="1792">
        <f>'Админ. расх. (2)'!S53</f>
        <v>0</v>
      </c>
      <c r="K58" s="1272">
        <f>'Админ. расх. (2)'!V53</f>
        <v>0</v>
      </c>
      <c r="L58" s="1272">
        <f>'Админ. расх. (2)'!Y53</f>
        <v>0</v>
      </c>
      <c r="M58" s="1365"/>
      <c r="N58" s="1276"/>
      <c r="O58" s="1276"/>
    </row>
    <row r="59" spans="1:15" ht="26.25" hidden="1" thickTop="1">
      <c r="A59" s="1277" t="s">
        <v>543</v>
      </c>
      <c r="B59" s="281" t="s">
        <v>542</v>
      </c>
      <c r="C59" s="384" t="s">
        <v>11</v>
      </c>
      <c r="D59" s="1272" t="e">
        <f>#REF!*0.42</f>
        <v>#REF!</v>
      </c>
      <c r="E59" s="1272" t="e">
        <f>#REF!*0.42</f>
        <v>#REF!</v>
      </c>
      <c r="F59" s="1273"/>
      <c r="G59" s="1274"/>
      <c r="H59" s="1274"/>
      <c r="I59" s="1274"/>
      <c r="J59" s="1272"/>
      <c r="K59" s="1272"/>
      <c r="L59" s="1272"/>
      <c r="M59" s="1275"/>
      <c r="N59" s="1276"/>
      <c r="O59" s="1278"/>
    </row>
    <row r="60" spans="1:15" ht="31.5" thickTop="1" thickBot="1">
      <c r="A60" s="350" t="s">
        <v>99</v>
      </c>
      <c r="B60" s="1267" t="s">
        <v>100</v>
      </c>
      <c r="C60" s="1267" t="s">
        <v>11</v>
      </c>
      <c r="D60" s="1268">
        <f>D61</f>
        <v>0</v>
      </c>
      <c r="E60" s="1268">
        <f t="shared" ref="E60:F60" si="14">E61</f>
        <v>3164.8359999999998</v>
      </c>
      <c r="F60" s="1268">
        <f t="shared" si="14"/>
        <v>3100</v>
      </c>
      <c r="G60" s="1268">
        <f>'расшифровки ВО_2016'!G497</f>
        <v>3307.2536199999995</v>
      </c>
      <c r="H60" s="1268">
        <f>'сбытовые расходы'!H13/2/1000</f>
        <v>1653.6268099999998</v>
      </c>
      <c r="I60" s="1268">
        <f>'сбытовые расходы'!H13/1000</f>
        <v>3307.2536199999995</v>
      </c>
      <c r="J60" s="1268">
        <f>'расшифровки ВО_2016'!J497</f>
        <v>3449.4655256599995</v>
      </c>
      <c r="K60" s="1268">
        <f>'Админ. расх. (2)'!V53</f>
        <v>0</v>
      </c>
      <c r="L60" s="1268">
        <f>'Админ. расх. (2)'!Y53</f>
        <v>0</v>
      </c>
      <c r="M60" s="1269"/>
      <c r="N60" s="1270"/>
      <c r="O60" s="1271"/>
    </row>
    <row r="61" spans="1:15" ht="39" thickBot="1">
      <c r="A61" s="1222" t="s">
        <v>101</v>
      </c>
      <c r="B61" s="196" t="s">
        <v>102</v>
      </c>
      <c r="C61" s="197" t="s">
        <v>11</v>
      </c>
      <c r="D61" s="967">
        <f>'расшифровки ВО_2016'!D497</f>
        <v>0</v>
      </c>
      <c r="E61" s="967">
        <f>'сбытовые расходы'!G13/1000</f>
        <v>3164.8359999999998</v>
      </c>
      <c r="F61" s="967">
        <v>3100</v>
      </c>
      <c r="G61" s="967">
        <f>'сбытовые расходы'!H13/1000</f>
        <v>3307.2536199999995</v>
      </c>
      <c r="H61" s="967">
        <f>'сбытовые расходы'!H13/2/1000</f>
        <v>1653.6268099999998</v>
      </c>
      <c r="I61" s="967">
        <f>'сбытовые расходы'!H13/1000</f>
        <v>3307.2536199999995</v>
      </c>
      <c r="J61" s="967">
        <f>'расшифровки ВО_2016'!J497</f>
        <v>3449.4655256599995</v>
      </c>
      <c r="K61" s="967">
        <f>'расшифровки ВО_2016'!K497</f>
        <v>3597.7925432633792</v>
      </c>
      <c r="L61" s="967">
        <f>'расшифровки ВО_2016'!L497</f>
        <v>3597.7925432633792</v>
      </c>
      <c r="M61" s="905"/>
      <c r="N61" s="906"/>
      <c r="O61" s="907"/>
    </row>
    <row r="62" spans="1:15" ht="15.75" thickBot="1">
      <c r="A62" s="24" t="s">
        <v>103</v>
      </c>
      <c r="B62" s="7" t="s">
        <v>104</v>
      </c>
      <c r="C62" s="7" t="s">
        <v>11</v>
      </c>
      <c r="D62" s="968">
        <f t="shared" ref="D62:L62" si="15">D63</f>
        <v>22892</v>
      </c>
      <c r="E62" s="968">
        <f t="shared" si="15"/>
        <v>33784.004999999997</v>
      </c>
      <c r="F62" s="974">
        <f t="shared" si="15"/>
        <v>29290</v>
      </c>
      <c r="G62" s="975">
        <f t="shared" si="15"/>
        <v>60340.37004999999</v>
      </c>
      <c r="H62" s="975">
        <f t="shared" si="15"/>
        <v>15527.570000000002</v>
      </c>
      <c r="I62" s="975">
        <f t="shared" si="15"/>
        <v>31210.415700000001</v>
      </c>
      <c r="J62" s="975">
        <f t="shared" si="15"/>
        <v>41126.863845</v>
      </c>
      <c r="K62" s="975">
        <f t="shared" si="15"/>
        <v>69815.529024999996</v>
      </c>
      <c r="L62" s="975">
        <f t="shared" si="15"/>
        <v>119156.89571999999</v>
      </c>
      <c r="M62" s="902"/>
      <c r="N62" s="903"/>
      <c r="O62" s="904"/>
    </row>
    <row r="63" spans="1:15" ht="97.5" customHeight="1" thickBot="1">
      <c r="A63" s="1222" t="s">
        <v>105</v>
      </c>
      <c r="B63" s="196" t="s">
        <v>1552</v>
      </c>
      <c r="C63" s="197" t="s">
        <v>11</v>
      </c>
      <c r="D63" s="911">
        <v>22892</v>
      </c>
      <c r="E63" s="911">
        <f>'расшифровки ВО_2016'!E413+'расшифровки ВО_2016'!E414+'расшифровки ВО_2016'!E415</f>
        <v>33784.004999999997</v>
      </c>
      <c r="F63" s="911">
        <v>29290</v>
      </c>
      <c r="G63" s="911">
        <f>'расшифровки ВО_2016'!G413+'расшифровки ВО_2016'!G414+'расшифровки ВО_2016'!G415+'расшифровки ВО_2016'!G417</f>
        <v>60340.37004999999</v>
      </c>
      <c r="H63" s="911">
        <f>'расшифровки ВО_2016'!H413+'расшифровки ВО_2016'!H414+'расшифровки ВО_2016'!H415</f>
        <v>15527.570000000002</v>
      </c>
      <c r="I63" s="911">
        <f>'расшифровки ВО_2016'!I413+'расшифровки ВО_2016'!I414+'расшифровки ВО_2016'!I415</f>
        <v>31210.415700000001</v>
      </c>
      <c r="J63" s="911">
        <f>'расшифровки ВО_2016'!J413+'расшифровки ВО_2016'!J414+'расшифровки ВО_2016'!J415</f>
        <v>41126.863845</v>
      </c>
      <c r="K63" s="911">
        <f>'расшифровки ВО_2016'!K413+'расшифровки ВО_2016'!K414+'расшифровки ВО_2016'!K415</f>
        <v>69815.529024999996</v>
      </c>
      <c r="L63" s="911">
        <f>'расшифровки ВО_2016'!L413+'расшифровки ВО_2016'!L414+'расшифровки ВО_2016'!L415</f>
        <v>119156.89571999999</v>
      </c>
      <c r="M63" s="913"/>
      <c r="N63" s="914"/>
      <c r="O63" s="912"/>
    </row>
    <row r="64" spans="1:15" ht="45.75" thickBot="1">
      <c r="A64" s="29" t="s">
        <v>106</v>
      </c>
      <c r="B64" s="31" t="s">
        <v>107</v>
      </c>
      <c r="C64" s="30" t="s">
        <v>11</v>
      </c>
      <c r="D64" s="908">
        <f t="shared" ref="D64:L64" si="16">D65+D66+D67+D68</f>
        <v>0</v>
      </c>
      <c r="E64" s="908">
        <f t="shared" si="16"/>
        <v>0</v>
      </c>
      <c r="F64" s="909">
        <f t="shared" si="16"/>
        <v>0</v>
      </c>
      <c r="G64" s="910">
        <f t="shared" si="16"/>
        <v>0</v>
      </c>
      <c r="H64" s="910">
        <f t="shared" si="16"/>
        <v>0</v>
      </c>
      <c r="I64" s="910">
        <f t="shared" si="16"/>
        <v>0</v>
      </c>
      <c r="J64" s="910">
        <f t="shared" si="16"/>
        <v>0</v>
      </c>
      <c r="K64" s="910">
        <f t="shared" si="16"/>
        <v>0</v>
      </c>
      <c r="L64" s="910">
        <f t="shared" si="16"/>
        <v>0</v>
      </c>
      <c r="M64" s="902"/>
      <c r="N64" s="903"/>
      <c r="O64" s="904"/>
    </row>
    <row r="65" spans="1:15" ht="15.75" thickBot="1">
      <c r="A65" s="1223" t="s">
        <v>108</v>
      </c>
      <c r="B65" s="139" t="s">
        <v>109</v>
      </c>
      <c r="C65" s="199" t="s">
        <v>11</v>
      </c>
      <c r="D65" s="915">
        <v>0</v>
      </c>
      <c r="E65" s="915">
        <f>'расшифровки ВО_2016'!E436</f>
        <v>0</v>
      </c>
      <c r="F65" s="916">
        <f>'расшифровки ВО_2016'!F436</f>
        <v>0</v>
      </c>
      <c r="G65" s="917">
        <f>'расшифровки ВО_2016'!G436</f>
        <v>0</v>
      </c>
      <c r="H65" s="917">
        <f>'расшифровки ВО_2016'!H436</f>
        <v>0</v>
      </c>
      <c r="I65" s="917">
        <f>'расшифровки ВО_2016'!I436</f>
        <v>0</v>
      </c>
      <c r="J65" s="918">
        <v>0</v>
      </c>
      <c r="K65" s="918">
        <v>0</v>
      </c>
      <c r="L65" s="918">
        <v>0</v>
      </c>
      <c r="M65" s="919"/>
      <c r="N65" s="920"/>
      <c r="O65" s="918"/>
    </row>
    <row r="66" spans="1:15" ht="16.5" thickTop="1" thickBot="1">
      <c r="A66" s="1221" t="s">
        <v>110</v>
      </c>
      <c r="B66" s="142" t="s">
        <v>111</v>
      </c>
      <c r="C66" s="200" t="s">
        <v>11</v>
      </c>
      <c r="D66" s="915">
        <f>'расшифровки ВО_2016'!D437</f>
        <v>0</v>
      </c>
      <c r="E66" s="915">
        <f>'расшифровки ВО_2016'!E437</f>
        <v>0</v>
      </c>
      <c r="F66" s="916">
        <f>'расшифровки ВО_2016'!F437</f>
        <v>0</v>
      </c>
      <c r="G66" s="917">
        <f>'расшифровки ВО_2016'!G437</f>
        <v>0</v>
      </c>
      <c r="H66" s="917">
        <f>'расшифровки ВО_2016'!H437</f>
        <v>0</v>
      </c>
      <c r="I66" s="917">
        <f>'расшифровки ВО_2016'!I437</f>
        <v>0</v>
      </c>
      <c r="J66" s="918">
        <v>0</v>
      </c>
      <c r="K66" s="918">
        <v>0</v>
      </c>
      <c r="L66" s="918">
        <v>0</v>
      </c>
      <c r="M66" s="919"/>
      <c r="N66" s="920"/>
      <c r="O66" s="918"/>
    </row>
    <row r="67" spans="1:15" ht="16.5" thickTop="1" thickBot="1">
      <c r="A67" s="1221" t="s">
        <v>112</v>
      </c>
      <c r="B67" s="142" t="s">
        <v>113</v>
      </c>
      <c r="C67" s="200" t="s">
        <v>11</v>
      </c>
      <c r="D67" s="915">
        <f>'расшифровки ВО_2016'!D438</f>
        <v>0</v>
      </c>
      <c r="E67" s="915">
        <f>'расшифровки ВО_2016'!E438</f>
        <v>0</v>
      </c>
      <c r="F67" s="916">
        <f>'расшифровки ВО_2016'!F438</f>
        <v>0</v>
      </c>
      <c r="G67" s="917">
        <f>'расшифровки ВО_2016'!G438</f>
        <v>0</v>
      </c>
      <c r="H67" s="917">
        <f>'расшифровки ВО_2016'!H438</f>
        <v>0</v>
      </c>
      <c r="I67" s="917">
        <f>'расшифровки ВО_2016'!I438</f>
        <v>0</v>
      </c>
      <c r="J67" s="918">
        <v>0</v>
      </c>
      <c r="K67" s="918">
        <v>0</v>
      </c>
      <c r="L67" s="918">
        <v>0</v>
      </c>
      <c r="M67" s="919"/>
      <c r="N67" s="920"/>
      <c r="O67" s="918"/>
    </row>
    <row r="68" spans="1:15" ht="16.5" thickTop="1" thickBot="1">
      <c r="A68" s="1224" t="s">
        <v>114</v>
      </c>
      <c r="B68" s="196" t="s">
        <v>115</v>
      </c>
      <c r="C68" s="202" t="s">
        <v>11</v>
      </c>
      <c r="D68" s="915">
        <f>'расшифровки ВО_2016'!D439</f>
        <v>0</v>
      </c>
      <c r="E68" s="915">
        <f>'расшифровки ВО_2016'!E439</f>
        <v>0</v>
      </c>
      <c r="F68" s="916">
        <f>'расшифровки ВО_2016'!F439</f>
        <v>0</v>
      </c>
      <c r="G68" s="917">
        <f>'расшифровки ВО_2016'!G439</f>
        <v>0</v>
      </c>
      <c r="H68" s="917">
        <f>'расшифровки ВО_2016'!H439</f>
        <v>0</v>
      </c>
      <c r="I68" s="917">
        <f>'расшифровки ВО_2016'!I439</f>
        <v>0</v>
      </c>
      <c r="J68" s="918">
        <v>0</v>
      </c>
      <c r="K68" s="918">
        <v>0</v>
      </c>
      <c r="L68" s="918">
        <v>0</v>
      </c>
      <c r="M68" s="919"/>
      <c r="N68" s="920"/>
      <c r="O68" s="918"/>
    </row>
    <row r="69" spans="1:15" ht="31.5" customHeight="1" thickTop="1" thickBot="1">
      <c r="A69" s="170" t="s">
        <v>116</v>
      </c>
      <c r="B69" s="31" t="s">
        <v>117</v>
      </c>
      <c r="C69" s="1398" t="s">
        <v>11</v>
      </c>
      <c r="D69" s="1399">
        <f>SUM(D70:D75)</f>
        <v>14808.484912000002</v>
      </c>
      <c r="E69" s="1399">
        <f>SUM(E70:E75)</f>
        <v>13536.307879999998</v>
      </c>
      <c r="F69" s="1400">
        <f>SUM(F70:F75)+0.34</f>
        <v>17018.75</v>
      </c>
      <c r="G69" s="1401">
        <f>SUM(G70:G75)</f>
        <v>14014.248263999998</v>
      </c>
      <c r="H69" s="1401">
        <f>SUM(H70:H75)</f>
        <v>7689.1007711999991</v>
      </c>
      <c r="I69" s="1401">
        <f>SUM(I70:I75)</f>
        <v>22336.229348066667</v>
      </c>
      <c r="J69" s="1401">
        <f t="shared" ref="J69:L69" si="17">SUM(J70:J75)</f>
        <v>51753.20993528</v>
      </c>
      <c r="K69" s="1401">
        <f t="shared" si="17"/>
        <v>52299.822748811835</v>
      </c>
      <c r="L69" s="1401">
        <f t="shared" si="17"/>
        <v>52871.093995604948</v>
      </c>
      <c r="M69" s="1401"/>
      <c r="N69" s="1411"/>
      <c r="O69" s="1402"/>
    </row>
    <row r="70" spans="1:15" ht="16.5" thickTop="1" thickBot="1">
      <c r="A70" s="1221" t="s">
        <v>118</v>
      </c>
      <c r="B70" s="203" t="s">
        <v>119</v>
      </c>
      <c r="C70" s="200" t="s">
        <v>11</v>
      </c>
      <c r="D70" s="922">
        <f>'расшифровки ВО_2016'!D460</f>
        <v>10000</v>
      </c>
      <c r="E70" s="922">
        <f>налоги!C112</f>
        <v>9287.7976799999997</v>
      </c>
      <c r="F70" s="922">
        <f>'расшифровки ВО_2016'!F460</f>
        <v>10000</v>
      </c>
      <c r="G70" s="922">
        <f>'расшифровки ВО_2016'!G460</f>
        <v>9752.1875639999998</v>
      </c>
      <c r="H70" s="922">
        <f>'расшифровки ВО_2016'!H460</f>
        <v>4381.9133759999995</v>
      </c>
      <c r="I70" s="922">
        <f>'расшифровки ВО_2016'!I460</f>
        <v>15721.854557666666</v>
      </c>
      <c r="J70" s="922">
        <f>'расшифровки ВО_2016'!J460</f>
        <v>45072.691396975999</v>
      </c>
      <c r="K70" s="922">
        <f>'расшифровки ВО_2016'!K460</f>
        <v>45552.499025124802</v>
      </c>
      <c r="L70" s="922">
        <f>'расшифровки ВО_2016'!L460</f>
        <v>46056.29703468104</v>
      </c>
      <c r="M70" s="924"/>
      <c r="N70" s="925"/>
      <c r="O70" s="923"/>
    </row>
    <row r="71" spans="1:15" ht="27" thickTop="1" thickBot="1">
      <c r="A71" s="1221" t="s">
        <v>120</v>
      </c>
      <c r="B71" s="204" t="s">
        <v>121</v>
      </c>
      <c r="C71" s="200" t="s">
        <v>11</v>
      </c>
      <c r="D71" s="922">
        <f>'расшифровки ВО_2016'!D461-0.87</f>
        <v>417.01</v>
      </c>
      <c r="E71" s="922">
        <v>0</v>
      </c>
      <c r="F71" s="922">
        <f>'расшифровки ВО_2016'!F461</f>
        <v>1475.41</v>
      </c>
      <c r="G71" s="922">
        <f>'расшифровки ВО_2016'!G461</f>
        <v>0</v>
      </c>
      <c r="H71" s="922">
        <f>'расшифровки ВО_2016'!H461</f>
        <v>0</v>
      </c>
      <c r="I71" s="922">
        <f>'расшифровки ВО_2016'!I461</f>
        <v>0</v>
      </c>
      <c r="J71" s="922">
        <f>'расшифровки ВО_2016'!L461</f>
        <v>0</v>
      </c>
      <c r="K71" s="922">
        <f>'расшифровки ВО_2016'!Q461</f>
        <v>0</v>
      </c>
      <c r="L71" s="922">
        <f>'расшифровки ВО_2016'!R461</f>
        <v>0</v>
      </c>
      <c r="M71" s="924"/>
      <c r="N71" s="925"/>
      <c r="O71" s="923"/>
    </row>
    <row r="72" spans="1:15" ht="37.5" customHeight="1" thickTop="1" thickBot="1">
      <c r="A72" s="1221" t="s">
        <v>122</v>
      </c>
      <c r="B72" s="204" t="s">
        <v>123</v>
      </c>
      <c r="C72" s="200" t="s">
        <v>11</v>
      </c>
      <c r="D72" s="922">
        <f>'расшифровки ВО_2016'!D462-0.18</f>
        <v>2309.9960000000001</v>
      </c>
      <c r="E72" s="922"/>
      <c r="F72" s="922">
        <v>0</v>
      </c>
      <c r="G72" s="922">
        <f>'расшифровки ВО_2016'!G462</f>
        <v>0</v>
      </c>
      <c r="H72" s="922">
        <f>'расшифровки ВО_2016'!H462</f>
        <v>0</v>
      </c>
      <c r="I72" s="922">
        <f>'расшифровки ВО_2016'!I462</f>
        <v>0</v>
      </c>
      <c r="J72" s="922">
        <f>'расшифровки ВО_2016'!J462</f>
        <v>0</v>
      </c>
      <c r="K72" s="922">
        <f>'расшифровки ВО_2016'!K462</f>
        <v>0</v>
      </c>
      <c r="L72" s="922">
        <f>'расшифровки ВО_2016'!L462</f>
        <v>0</v>
      </c>
      <c r="M72" s="924"/>
      <c r="N72" s="925"/>
      <c r="O72" s="923"/>
    </row>
    <row r="73" spans="1:15" ht="16.5" thickTop="1" thickBot="1">
      <c r="A73" s="1221" t="s">
        <v>124</v>
      </c>
      <c r="B73" s="203" t="s">
        <v>629</v>
      </c>
      <c r="C73" s="200" t="s">
        <v>11</v>
      </c>
      <c r="D73" s="922">
        <f>'расшифровки ВО_2016'!D465</f>
        <v>1893.318912</v>
      </c>
      <c r="E73" s="922">
        <f>налоги!C120</f>
        <v>3977.5001999999995</v>
      </c>
      <c r="F73" s="922">
        <f>'расшифровки ВО_2016'!F465</f>
        <v>5326</v>
      </c>
      <c r="G73" s="922">
        <f>'расшифровки ВО_2016'!G465</f>
        <v>3977.5001999999995</v>
      </c>
      <c r="H73" s="922">
        <f>'расшифровки ВО_2016'!H465</f>
        <v>3151.2009599999997</v>
      </c>
      <c r="I73" s="922">
        <f>'расшифровки ВО_2016'!I465</f>
        <v>6302.4019199999993</v>
      </c>
      <c r="J73" s="922">
        <f>'расшифровки ВО_2016'!J465</f>
        <v>6365.4259391999994</v>
      </c>
      <c r="K73" s="922">
        <f>'расшифровки ВО_2016'!K465</f>
        <v>6429.0801985919998</v>
      </c>
      <c r="L73" s="922">
        <f>'расшифровки ВО_2016'!L465</f>
        <v>6493.3710005779203</v>
      </c>
      <c r="M73" s="924"/>
      <c r="N73" s="925"/>
      <c r="O73" s="923"/>
    </row>
    <row r="74" spans="1:15" ht="16.5" thickTop="1" thickBot="1">
      <c r="A74" s="1221" t="s">
        <v>126</v>
      </c>
      <c r="B74" s="203" t="s">
        <v>127</v>
      </c>
      <c r="C74" s="200" t="s">
        <v>11</v>
      </c>
      <c r="D74" s="922">
        <f>'расшифровки ВО_2016'!D466</f>
        <v>188.16</v>
      </c>
      <c r="E74" s="922">
        <f>'расшифровки ВО_2016'!E467</f>
        <v>271.01</v>
      </c>
      <c r="F74" s="922">
        <f>'расшифровки ВО_2016'!F466</f>
        <v>217</v>
      </c>
      <c r="G74" s="922">
        <f>'расшифровки ВО_2016'!G466</f>
        <v>284.56049999999999</v>
      </c>
      <c r="H74" s="922">
        <f>'расшифровки ВО_2016'!H466</f>
        <v>155.98643519999999</v>
      </c>
      <c r="I74" s="922">
        <f>'расшифровки ВО_2016'!I466</f>
        <v>311.97287039999998</v>
      </c>
      <c r="J74" s="922">
        <f>'расшифровки ВО_2016'!J466</f>
        <v>315.09259910399999</v>
      </c>
      <c r="K74" s="922">
        <f>'расшифровки ВО_2016'!K466</f>
        <v>318.24352509504001</v>
      </c>
      <c r="L74" s="922">
        <f>'расшифровки ВО_2016'!L466</f>
        <v>321.42596034599035</v>
      </c>
      <c r="M74" s="924"/>
      <c r="N74" s="925"/>
      <c r="O74" s="923"/>
    </row>
    <row r="75" spans="1:15" ht="73.5" thickTop="1" thickBot="1">
      <c r="A75" s="1225" t="s">
        <v>128</v>
      </c>
      <c r="B75" s="2838" t="s">
        <v>129</v>
      </c>
      <c r="C75" s="206" t="s">
        <v>11</v>
      </c>
      <c r="D75" s="922">
        <f>'расшифровки ВО_2016'!D471</f>
        <v>0</v>
      </c>
      <c r="E75" s="922">
        <f>'расшифровки ВО_2016'!E471</f>
        <v>0</v>
      </c>
      <c r="F75" s="922">
        <v>0</v>
      </c>
      <c r="G75" s="922">
        <f>'расшифровки ВО_2016'!G471</f>
        <v>0</v>
      </c>
      <c r="H75" s="922">
        <f>'расшифровки ВО_2016'!H471</f>
        <v>0</v>
      </c>
      <c r="I75" s="922">
        <f>'расшифровки ВО_2016'!I471</f>
        <v>0</v>
      </c>
      <c r="J75" s="922">
        <f>'расшифровки ВО_2016'!L471</f>
        <v>0</v>
      </c>
      <c r="K75" s="922">
        <f>'расшифровки ВО_2016'!Q471</f>
        <v>0</v>
      </c>
      <c r="L75" s="922">
        <f>'расшифровки ВО_2016'!R471</f>
        <v>0</v>
      </c>
      <c r="M75" s="924"/>
      <c r="N75" s="925"/>
      <c r="O75" s="923"/>
    </row>
    <row r="76" spans="1:15" ht="16.5" hidden="1" customHeight="1" thickTop="1" thickBot="1">
      <c r="A76" s="3414" t="s">
        <v>966</v>
      </c>
      <c r="B76" s="1240" t="s">
        <v>964</v>
      </c>
      <c r="C76" s="1242" t="s">
        <v>11</v>
      </c>
      <c r="D76" s="1241">
        <v>0</v>
      </c>
      <c r="E76" s="1237"/>
      <c r="F76" s="1237">
        <v>0</v>
      </c>
      <c r="G76" s="1237"/>
      <c r="H76" s="1237"/>
      <c r="I76" s="1237"/>
      <c r="J76" s="1237"/>
      <c r="K76" s="1237"/>
      <c r="L76" s="1237"/>
      <c r="M76" s="1238"/>
      <c r="N76" s="1238"/>
      <c r="O76" s="1239"/>
    </row>
    <row r="77" spans="1:15" ht="16.5" hidden="1" thickTop="1" thickBot="1">
      <c r="A77" s="3415"/>
      <c r="B77" s="1240" t="s">
        <v>965</v>
      </c>
      <c r="C77" s="1242" t="s">
        <v>11</v>
      </c>
      <c r="D77" s="1241">
        <v>0</v>
      </c>
      <c r="E77" s="1237"/>
      <c r="F77" s="1237">
        <v>0</v>
      </c>
      <c r="G77" s="1237"/>
      <c r="H77" s="1237"/>
      <c r="I77" s="1237"/>
      <c r="J77" s="1237"/>
      <c r="K77" s="1237"/>
      <c r="L77" s="1237"/>
      <c r="M77" s="1238"/>
      <c r="N77" s="1238"/>
      <c r="O77" s="1239"/>
    </row>
    <row r="78" spans="1:15" ht="39.75" thickTop="1" thickBot="1">
      <c r="A78" s="2758"/>
      <c r="B78" s="1240" t="s">
        <v>1540</v>
      </c>
      <c r="C78" s="2444"/>
      <c r="D78" s="1241"/>
      <c r="E78" s="1237"/>
      <c r="F78" s="1237"/>
      <c r="G78" s="1237"/>
      <c r="H78" s="1237">
        <f>243461.24/2+80342.21/2</f>
        <v>161901.72500000001</v>
      </c>
      <c r="I78" s="1237">
        <f>243461.24+80342.212</f>
        <v>323803.45199999999</v>
      </c>
      <c r="J78" s="1237"/>
      <c r="K78" s="1237">
        <f>J78</f>
        <v>0</v>
      </c>
      <c r="L78" s="1237">
        <f>K78</f>
        <v>0</v>
      </c>
      <c r="M78" s="1238"/>
      <c r="N78" s="1238"/>
      <c r="O78" s="1239"/>
    </row>
    <row r="79" spans="1:15" ht="19.5" thickBot="1">
      <c r="A79" s="352"/>
      <c r="B79" s="354" t="s">
        <v>510</v>
      </c>
      <c r="C79" s="353" t="s">
        <v>11</v>
      </c>
      <c r="D79" s="926">
        <f>D10+D34+D40+D60+D62+D64+D69+D76+D77+D78</f>
        <v>280448.8814022399</v>
      </c>
      <c r="E79" s="926">
        <f t="shared" ref="E79:L79" si="18">E10+E34+E40+E60+E62+E64+E69+E76+E77+E78</f>
        <v>303051.52242510999</v>
      </c>
      <c r="F79" s="926">
        <f t="shared" si="18"/>
        <v>396037.02002020704</v>
      </c>
      <c r="G79" s="926">
        <f t="shared" si="18"/>
        <v>420576.13408469886</v>
      </c>
      <c r="H79" s="926">
        <f t="shared" si="18"/>
        <v>331622.6844156041</v>
      </c>
      <c r="I79" s="926">
        <f t="shared" si="18"/>
        <v>731985.4963528777</v>
      </c>
      <c r="J79" s="926">
        <f t="shared" si="18"/>
        <v>588354.03036397463</v>
      </c>
      <c r="K79" s="926">
        <f t="shared" si="18"/>
        <v>586009.07768785476</v>
      </c>
      <c r="L79" s="926">
        <f t="shared" si="18"/>
        <v>636643.75842903252</v>
      </c>
      <c r="M79" s="921"/>
      <c r="N79" s="928"/>
      <c r="O79" s="927"/>
    </row>
    <row r="80" spans="1:15" ht="15.75" thickBot="1">
      <c r="A80" s="350" t="s">
        <v>130</v>
      </c>
      <c r="B80" s="351" t="s">
        <v>131</v>
      </c>
      <c r="C80" s="351" t="s">
        <v>11</v>
      </c>
      <c r="D80" s="929">
        <v>16980.5</v>
      </c>
      <c r="E80" s="929">
        <f t="shared" ref="E80:L80" si="19">SUM(E82:E87)</f>
        <v>13136.2666727533</v>
      </c>
      <c r="F80" s="929">
        <f t="shared" si="19"/>
        <v>16348.869999999999</v>
      </c>
      <c r="G80" s="929">
        <f t="shared" si="19"/>
        <v>17219.050141451371</v>
      </c>
      <c r="H80" s="929">
        <f t="shared" ref="H80:I80" si="20">SUM(H82:H87)</f>
        <v>14258.620968978148</v>
      </c>
      <c r="I80" s="929">
        <f t="shared" si="20"/>
        <v>28554.763649856402</v>
      </c>
      <c r="J80" s="929">
        <f t="shared" si="19"/>
        <v>25223.673924303839</v>
      </c>
      <c r="K80" s="929">
        <f t="shared" si="19"/>
        <v>31808.426756180215</v>
      </c>
      <c r="L80" s="929">
        <f t="shared" si="19"/>
        <v>30518.404991545656</v>
      </c>
      <c r="M80" s="931"/>
      <c r="N80" s="930"/>
      <c r="O80" s="1226"/>
    </row>
    <row r="81" spans="1:16" ht="15.75" hidden="1" thickBot="1">
      <c r="A81" s="1227"/>
      <c r="B81" s="159"/>
      <c r="C81" s="159"/>
      <c r="D81" s="1201"/>
      <c r="E81" s="1201"/>
      <c r="F81" s="1201"/>
      <c r="G81" s="1201"/>
      <c r="H81" s="1201"/>
      <c r="I81" s="1201"/>
      <c r="J81" s="1201"/>
      <c r="K81" s="1201"/>
      <c r="L81" s="1201"/>
      <c r="M81" s="1203"/>
      <c r="N81" s="1202"/>
      <c r="O81" s="1228"/>
    </row>
    <row r="82" spans="1:16" ht="15.75" thickBot="1">
      <c r="A82" s="1229" t="s">
        <v>132</v>
      </c>
      <c r="B82" s="329" t="s">
        <v>505</v>
      </c>
      <c r="C82" s="328" t="s">
        <v>11</v>
      </c>
      <c r="D82" s="932">
        <v>0</v>
      </c>
      <c r="E82" s="932">
        <v>2410.83</v>
      </c>
      <c r="F82" s="932">
        <v>2724.81</v>
      </c>
      <c r="G82" s="933">
        <v>2869.8416589104017</v>
      </c>
      <c r="H82" s="933">
        <v>2376.4368365100249</v>
      </c>
      <c r="I82" s="933">
        <v>4759.358831670067</v>
      </c>
      <c r="J82" s="934">
        <v>5763.1919526846004</v>
      </c>
      <c r="K82" s="935">
        <v>7359.3921788877042</v>
      </c>
      <c r="L82" s="933">
        <v>6903.6616599371209</v>
      </c>
      <c r="M82" s="936"/>
      <c r="N82" s="937"/>
      <c r="O82" s="934"/>
    </row>
    <row r="83" spans="1:16" ht="26.25" thickBot="1">
      <c r="A83" s="1230" t="s">
        <v>134</v>
      </c>
      <c r="B83" s="718" t="s">
        <v>133</v>
      </c>
      <c r="C83" s="719" t="s">
        <v>11</v>
      </c>
      <c r="D83" s="976"/>
      <c r="E83" s="976"/>
      <c r="F83" s="976"/>
      <c r="G83" s="977"/>
      <c r="H83" s="977"/>
      <c r="I83" s="977"/>
      <c r="J83" s="977"/>
      <c r="K83" s="977"/>
      <c r="L83" s="977"/>
      <c r="M83" s="943"/>
      <c r="N83" s="944"/>
      <c r="O83" s="941"/>
    </row>
    <row r="84" spans="1:16" ht="16.5" thickTop="1" thickBot="1">
      <c r="A84" s="1221" t="s">
        <v>135</v>
      </c>
      <c r="B84" s="203" t="s">
        <v>136</v>
      </c>
      <c r="C84" s="200" t="s">
        <v>11</v>
      </c>
      <c r="D84" s="945">
        <f>Кап.вложения!E25</f>
        <v>0</v>
      </c>
      <c r="E84" s="945">
        <f>Кап.вложения!F25</f>
        <v>0</v>
      </c>
      <c r="F84" s="945">
        <v>0</v>
      </c>
      <c r="G84" s="945">
        <f>Кап.вложения!H25</f>
        <v>0</v>
      </c>
      <c r="H84" s="945">
        <v>0</v>
      </c>
      <c r="I84" s="945">
        <f>Кап.вложения!J25</f>
        <v>0</v>
      </c>
      <c r="J84" s="945">
        <v>0</v>
      </c>
      <c r="K84" s="945">
        <f>Кап.вложения!J25</f>
        <v>0</v>
      </c>
      <c r="L84" s="945">
        <f>Кап.вложения!K25</f>
        <v>0</v>
      </c>
      <c r="M84" s="950"/>
      <c r="N84" s="951"/>
      <c r="O84" s="948"/>
    </row>
    <row r="85" spans="1:16" ht="65.25" thickTop="1" thickBot="1">
      <c r="A85" s="1231" t="s">
        <v>138</v>
      </c>
      <c r="B85" s="209" t="s">
        <v>137</v>
      </c>
      <c r="C85" s="210" t="s">
        <v>11</v>
      </c>
      <c r="D85" s="641">
        <v>16980.5</v>
      </c>
      <c r="E85" s="641">
        <f>3985.1*0.41</f>
        <v>1633.8909999999998</v>
      </c>
      <c r="F85" s="641">
        <v>1824.06</v>
      </c>
      <c r="G85" s="641">
        <f>E85*1.06</f>
        <v>1731.92446</v>
      </c>
      <c r="H85" s="641">
        <f>F85*1.06</f>
        <v>1933.5036</v>
      </c>
      <c r="I85" s="641">
        <f>G85*1.06</f>
        <v>1835.8399276</v>
      </c>
      <c r="J85" s="641">
        <f>G85*1.045</f>
        <v>1809.8610606999998</v>
      </c>
      <c r="K85" s="641">
        <f>J85*1.043</f>
        <v>1887.6850863100997</v>
      </c>
      <c r="L85" s="642">
        <f>K85*1.043</f>
        <v>1968.8555450214337</v>
      </c>
      <c r="M85" s="950"/>
      <c r="N85" s="951"/>
      <c r="O85" s="948"/>
    </row>
    <row r="86" spans="1:16" ht="65.25" hidden="1" thickTop="1" thickBot="1">
      <c r="A86" s="1220" t="s">
        <v>139</v>
      </c>
      <c r="B86" s="204" t="s">
        <v>145</v>
      </c>
      <c r="C86" s="210" t="s">
        <v>11</v>
      </c>
      <c r="D86" s="945"/>
      <c r="E86" s="945"/>
      <c r="F86" s="946"/>
      <c r="G86" s="947"/>
      <c r="H86" s="947"/>
      <c r="I86" s="947"/>
      <c r="J86" s="948"/>
      <c r="K86" s="949"/>
      <c r="L86" s="947"/>
      <c r="M86" s="950"/>
      <c r="N86" s="951"/>
      <c r="O86" s="948"/>
    </row>
    <row r="87" spans="1:16" ht="52.5" thickTop="1" thickBot="1">
      <c r="A87" s="1225" t="s">
        <v>139</v>
      </c>
      <c r="B87" s="205" t="s">
        <v>952</v>
      </c>
      <c r="C87" s="211" t="s">
        <v>11</v>
      </c>
      <c r="D87" s="952"/>
      <c r="E87" s="952">
        <f t="shared" ref="E87:J87" si="21">E79*3/100</f>
        <v>9091.5456727533001</v>
      </c>
      <c r="F87" s="952">
        <v>11800</v>
      </c>
      <c r="G87" s="952">
        <f t="shared" si="21"/>
        <v>12617.284022540967</v>
      </c>
      <c r="H87" s="952">
        <f t="shared" si="21"/>
        <v>9948.6805324681227</v>
      </c>
      <c r="I87" s="952">
        <f t="shared" si="21"/>
        <v>21959.564890586335</v>
      </c>
      <c r="J87" s="952">
        <f t="shared" si="21"/>
        <v>17650.620910919239</v>
      </c>
      <c r="K87" s="952">
        <f>K79*3.85/100</f>
        <v>22561.349490982411</v>
      </c>
      <c r="L87" s="952">
        <f>L79*3.4/100</f>
        <v>21645.887786587104</v>
      </c>
      <c r="M87" s="953"/>
      <c r="N87" s="954"/>
      <c r="O87" s="955"/>
      <c r="P87">
        <f>M79*0.03</f>
        <v>0</v>
      </c>
    </row>
    <row r="88" spans="1:16" ht="26.25" thickBot="1">
      <c r="A88" s="167" t="s">
        <v>141</v>
      </c>
      <c r="B88" s="168" t="s">
        <v>386</v>
      </c>
      <c r="C88" s="28" t="s">
        <v>11</v>
      </c>
      <c r="D88" s="956">
        <f t="shared" ref="D88:L88" si="22">SUM(D89:D91)</f>
        <v>0</v>
      </c>
      <c r="E88" s="956">
        <f t="shared" si="22"/>
        <v>0</v>
      </c>
      <c r="F88" s="956">
        <f t="shared" si="22"/>
        <v>0</v>
      </c>
      <c r="G88" s="956">
        <f t="shared" si="22"/>
        <v>0</v>
      </c>
      <c r="H88" s="956">
        <f t="shared" ref="H88:I88" si="23">SUM(H89:H91)</f>
        <v>0</v>
      </c>
      <c r="I88" s="956">
        <f t="shared" si="23"/>
        <v>0</v>
      </c>
      <c r="J88" s="956"/>
      <c r="K88" s="956">
        <f t="shared" si="22"/>
        <v>0</v>
      </c>
      <c r="L88" s="956">
        <f t="shared" si="22"/>
        <v>0</v>
      </c>
      <c r="M88" s="959"/>
      <c r="N88" s="960"/>
      <c r="O88" s="958"/>
    </row>
    <row r="89" spans="1:16" ht="77.25" hidden="1" thickBot="1">
      <c r="A89" s="1232" t="s">
        <v>377</v>
      </c>
      <c r="B89" s="207" t="s">
        <v>378</v>
      </c>
      <c r="C89" s="212" t="s">
        <v>11</v>
      </c>
      <c r="D89" s="938"/>
      <c r="E89" s="938"/>
      <c r="F89" s="939"/>
      <c r="G89" s="940"/>
      <c r="H89" s="940"/>
      <c r="I89" s="940"/>
      <c r="J89" s="941"/>
      <c r="K89" s="942"/>
      <c r="L89" s="940"/>
      <c r="M89" s="943"/>
      <c r="N89" s="961"/>
      <c r="O89" s="941"/>
    </row>
    <row r="90" spans="1:16" ht="56.25" customHeight="1" thickTop="1">
      <c r="A90" s="1371" t="s">
        <v>379</v>
      </c>
      <c r="B90" s="1372" t="s">
        <v>1310</v>
      </c>
      <c r="C90" s="1373" t="s">
        <v>11</v>
      </c>
      <c r="D90" s="1374">
        <v>0</v>
      </c>
      <c r="E90" s="1374"/>
      <c r="F90" s="1375"/>
      <c r="G90" s="1281">
        <v>0</v>
      </c>
      <c r="H90" s="1281">
        <v>0</v>
      </c>
      <c r="I90" s="1281">
        <v>0</v>
      </c>
      <c r="J90" s="1279">
        <v>2971.36</v>
      </c>
      <c r="K90" s="1280"/>
      <c r="L90" s="1281"/>
      <c r="M90" s="1376"/>
      <c r="N90" s="1377"/>
      <c r="O90" s="1279"/>
    </row>
    <row r="91" spans="1:16" ht="53.25" hidden="1" customHeight="1">
      <c r="A91" s="282" t="s">
        <v>381</v>
      </c>
      <c r="B91" s="1378" t="s">
        <v>382</v>
      </c>
      <c r="C91" s="1379" t="s">
        <v>11</v>
      </c>
      <c r="D91" s="1367"/>
      <c r="E91" s="1367"/>
      <c r="F91" s="1368"/>
      <c r="G91" s="1367"/>
      <c r="H91" s="1367"/>
      <c r="I91" s="1367"/>
      <c r="J91" s="1367"/>
      <c r="K91" s="1367"/>
      <c r="L91" s="1367"/>
      <c r="M91" s="1368"/>
      <c r="N91" s="1367"/>
      <c r="O91" s="1367"/>
    </row>
    <row r="92" spans="1:16" ht="25.5">
      <c r="A92" s="282" t="s">
        <v>1028</v>
      </c>
      <c r="B92" s="1378" t="s">
        <v>1029</v>
      </c>
      <c r="C92" s="1379" t="s">
        <v>11</v>
      </c>
      <c r="D92" s="1367">
        <v>0</v>
      </c>
      <c r="E92" s="1367"/>
      <c r="F92" s="1368"/>
      <c r="G92" s="1367"/>
      <c r="H92" s="1367"/>
      <c r="I92" s="1367"/>
      <c r="J92" s="1367"/>
      <c r="K92" s="1367"/>
      <c r="L92" s="1367"/>
      <c r="M92" s="1368"/>
      <c r="N92" s="1367"/>
      <c r="O92" s="1367"/>
    </row>
    <row r="93" spans="1:16" ht="15.75" thickBot="1">
      <c r="A93" s="1332"/>
      <c r="B93" s="1789" t="s">
        <v>142</v>
      </c>
      <c r="C93" s="1334" t="s">
        <v>11</v>
      </c>
      <c r="D93" s="497">
        <f t="shared" ref="D93:L93" si="24">D88+D80+D79</f>
        <v>297429.3814022399</v>
      </c>
      <c r="E93" s="497">
        <f t="shared" si="24"/>
        <v>316187.78909786331</v>
      </c>
      <c r="F93" s="1790">
        <f>F88+F80+F79-22</f>
        <v>412363.89002020704</v>
      </c>
      <c r="G93" s="497">
        <f t="shared" si="24"/>
        <v>437795.18422615022</v>
      </c>
      <c r="H93" s="497">
        <f t="shared" si="24"/>
        <v>345881.30538458226</v>
      </c>
      <c r="I93" s="497">
        <f t="shared" si="24"/>
        <v>760540.26000273414</v>
      </c>
      <c r="J93" s="497">
        <f>J88+J80+J79</f>
        <v>613577.70428827847</v>
      </c>
      <c r="K93" s="497">
        <f t="shared" si="24"/>
        <v>617817.504444035</v>
      </c>
      <c r="L93" s="497">
        <f t="shared" si="24"/>
        <v>667162.16342057823</v>
      </c>
      <c r="M93" s="1790"/>
      <c r="N93" s="497"/>
      <c r="O93" s="1665"/>
    </row>
    <row r="94" spans="1:16" ht="15.75" thickBot="1">
      <c r="A94" s="1380"/>
      <c r="B94" s="1381" t="s">
        <v>1090</v>
      </c>
      <c r="C94" s="185" t="s">
        <v>11</v>
      </c>
      <c r="D94" s="495"/>
      <c r="E94" s="495"/>
      <c r="F94" s="1382"/>
      <c r="G94" s="495"/>
      <c r="H94" s="495"/>
      <c r="I94" s="495"/>
      <c r="J94" s="495"/>
      <c r="K94" s="495"/>
      <c r="L94" s="495"/>
      <c r="M94" s="1382"/>
      <c r="N94" s="495"/>
      <c r="O94" s="1383"/>
    </row>
    <row r="95" spans="1:16" ht="39" thickBot="1">
      <c r="A95" s="237" t="s">
        <v>147</v>
      </c>
      <c r="B95" s="1378" t="s">
        <v>1092</v>
      </c>
      <c r="C95" s="1384" t="s">
        <v>11</v>
      </c>
      <c r="D95" s="418"/>
      <c r="E95" s="418"/>
      <c r="F95" s="1368">
        <v>87770.2</v>
      </c>
      <c r="G95" s="418"/>
      <c r="H95" s="418"/>
      <c r="I95" s="418"/>
      <c r="J95" s="418"/>
      <c r="K95" s="418"/>
      <c r="L95" s="418"/>
      <c r="M95" s="1368"/>
      <c r="N95" s="418"/>
      <c r="O95" s="418"/>
    </row>
    <row r="96" spans="1:16" ht="26.25" thickBot="1">
      <c r="A96" s="237"/>
      <c r="B96" s="1378" t="s">
        <v>1093</v>
      </c>
      <c r="C96" s="1384" t="s">
        <v>11</v>
      </c>
      <c r="D96" s="418"/>
      <c r="E96" s="418"/>
      <c r="F96" s="1368">
        <v>626.14</v>
      </c>
      <c r="G96" s="418"/>
      <c r="H96" s="418"/>
      <c r="I96" s="418"/>
      <c r="J96" s="418"/>
      <c r="K96" s="418"/>
      <c r="L96" s="418"/>
      <c r="M96" s="1368"/>
      <c r="N96" s="418"/>
      <c r="O96" s="418"/>
    </row>
    <row r="97" spans="1:17" ht="26.25" thickBot="1">
      <c r="A97" s="237"/>
      <c r="B97" s="1378" t="s">
        <v>1094</v>
      </c>
      <c r="C97" s="1384" t="s">
        <v>11</v>
      </c>
      <c r="D97" s="418"/>
      <c r="E97" s="418"/>
      <c r="F97" s="1368">
        <v>5512.85</v>
      </c>
      <c r="G97" s="418"/>
      <c r="H97" s="418"/>
      <c r="I97" s="418"/>
      <c r="J97" s="418"/>
      <c r="K97" s="418"/>
      <c r="L97" s="418"/>
      <c r="M97" s="1368"/>
      <c r="N97" s="418"/>
      <c r="O97" s="418"/>
    </row>
    <row r="98" spans="1:17" ht="38.25" customHeight="1" thickBot="1">
      <c r="A98" s="237"/>
      <c r="B98" s="1378" t="s">
        <v>1095</v>
      </c>
      <c r="C98" s="1384" t="s">
        <v>11</v>
      </c>
      <c r="D98" s="418"/>
      <c r="E98" s="418"/>
      <c r="F98" s="1368">
        <v>5519.5</v>
      </c>
      <c r="G98" s="418"/>
      <c r="H98" s="418"/>
      <c r="I98" s="418"/>
      <c r="J98" s="418"/>
      <c r="K98" s="418"/>
      <c r="L98" s="418"/>
      <c r="M98" s="1368"/>
      <c r="N98" s="418"/>
      <c r="O98" s="418"/>
    </row>
    <row r="99" spans="1:17" ht="83.25" customHeight="1" thickBot="1">
      <c r="A99" s="1386"/>
      <c r="B99" s="2774" t="s">
        <v>1098</v>
      </c>
      <c r="C99" s="1387" t="s">
        <v>11</v>
      </c>
      <c r="D99" s="414"/>
      <c r="E99" s="414"/>
      <c r="F99" s="1370">
        <v>2192.48</v>
      </c>
      <c r="G99" s="414"/>
      <c r="H99" s="414"/>
      <c r="I99" s="414"/>
      <c r="J99" s="414"/>
      <c r="K99" s="414"/>
      <c r="L99" s="414"/>
      <c r="M99" s="1370"/>
      <c r="N99" s="414"/>
      <c r="O99" s="414"/>
    </row>
    <row r="100" spans="1:17" ht="16.5" thickBot="1">
      <c r="A100" s="183"/>
      <c r="B100" s="1388" t="s">
        <v>1096</v>
      </c>
      <c r="C100" s="1384" t="s">
        <v>11</v>
      </c>
      <c r="D100" s="962"/>
      <c r="E100" s="962"/>
      <c r="F100" s="957">
        <f>F93-F95-F96-F97-F98-F99</f>
        <v>310742.72002020705</v>
      </c>
      <c r="G100" s="1389"/>
      <c r="H100" s="1390"/>
      <c r="I100" s="1390"/>
      <c r="J100" s="1390"/>
      <c r="K100" s="1390"/>
      <c r="L100" s="1390"/>
      <c r="M100" s="957"/>
      <c r="N100" s="1390"/>
      <c r="O100" s="1391"/>
    </row>
    <row r="101" spans="1:17" ht="15.75" thickBot="1">
      <c r="A101" s="1332"/>
      <c r="B101" s="1333" t="s">
        <v>1359</v>
      </c>
      <c r="C101" s="1334" t="s">
        <v>388</v>
      </c>
      <c r="D101" s="497">
        <v>48843.7</v>
      </c>
      <c r="E101" s="497">
        <f>E102+E103</f>
        <v>43904.82</v>
      </c>
      <c r="F101" s="1790">
        <v>48985.701000000001</v>
      </c>
      <c r="G101" s="1942">
        <f>G102+G103</f>
        <v>42331.974000000002</v>
      </c>
      <c r="H101" s="1942">
        <f t="shared" ref="H101:L101" si="25">H102+H103</f>
        <v>21487.02</v>
      </c>
      <c r="I101" s="1942">
        <f t="shared" si="25"/>
        <v>42331.974000000002</v>
      </c>
      <c r="J101" s="1942">
        <f>F101</f>
        <v>48985.701000000001</v>
      </c>
      <c r="K101" s="1942">
        <f t="shared" si="25"/>
        <v>42598.718999999997</v>
      </c>
      <c r="L101" s="1942">
        <f t="shared" si="25"/>
        <v>43182.115000000005</v>
      </c>
      <c r="M101" s="1943"/>
      <c r="N101" s="1944"/>
      <c r="O101" s="1945"/>
    </row>
    <row r="102" spans="1:17" ht="15.75" thickBot="1">
      <c r="A102" s="186"/>
      <c r="B102" s="1950" t="s">
        <v>1360</v>
      </c>
      <c r="C102" s="185"/>
      <c r="D102" s="1951"/>
      <c r="E102" s="962">
        <v>32552.418000000001</v>
      </c>
      <c r="F102" s="963"/>
      <c r="G102" s="1952">
        <v>30920.879000000001</v>
      </c>
      <c r="H102" s="1942">
        <v>15781.47</v>
      </c>
      <c r="I102" s="1952">
        <v>30920.879000000001</v>
      </c>
      <c r="J102" s="1953">
        <v>31459.056</v>
      </c>
      <c r="K102" s="1953">
        <v>31170.923999999999</v>
      </c>
      <c r="L102" s="1953">
        <v>31744.043000000001</v>
      </c>
      <c r="M102" s="1954"/>
      <c r="N102" s="1955"/>
      <c r="O102" s="1956"/>
    </row>
    <row r="103" spans="1:17" ht="15.75" thickBot="1">
      <c r="A103" s="186"/>
      <c r="B103" s="1950" t="s">
        <v>1358</v>
      </c>
      <c r="C103" s="185"/>
      <c r="D103" s="1951"/>
      <c r="E103" s="1951">
        <v>11352.402</v>
      </c>
      <c r="F103" s="963"/>
      <c r="G103" s="1951">
        <v>11411.094999999999</v>
      </c>
      <c r="H103" s="1955">
        <f>11411.1/2</f>
        <v>5705.55</v>
      </c>
      <c r="I103" s="1951">
        <v>11411.094999999999</v>
      </c>
      <c r="J103" s="1951">
        <v>11439.414000000001</v>
      </c>
      <c r="K103" s="1951">
        <v>11427.795</v>
      </c>
      <c r="L103" s="1951">
        <v>11438.072</v>
      </c>
      <c r="M103" s="1958"/>
      <c r="N103" s="1951"/>
      <c r="O103" s="1959"/>
    </row>
    <row r="104" spans="1:17" ht="15.75" thickBot="1">
      <c r="A104" s="1957"/>
      <c r="B104" s="1946" t="s">
        <v>1057</v>
      </c>
      <c r="C104" s="1947" t="s">
        <v>143</v>
      </c>
      <c r="D104" s="1948">
        <f>D93/D101</f>
        <v>6.0894113550414879</v>
      </c>
      <c r="E104" s="1948">
        <f t="shared" ref="E104:L104" si="26">E93/E101</f>
        <v>7.2016646258397898</v>
      </c>
      <c r="F104" s="1369">
        <f>F100/F101</f>
        <v>6.3435393120169303</v>
      </c>
      <c r="G104" s="1948">
        <f>G93/G101</f>
        <v>10.341950607504158</v>
      </c>
      <c r="H104" s="1948">
        <f t="shared" ref="H104:I104" si="27">H93/H101</f>
        <v>16.097220805145724</v>
      </c>
      <c r="I104" s="1948">
        <f t="shared" si="27"/>
        <v>17.96609484837003</v>
      </c>
      <c r="J104" s="1948">
        <f t="shared" si="26"/>
        <v>12.525649153990436</v>
      </c>
      <c r="K104" s="1948">
        <f t="shared" si="26"/>
        <v>14.503194437467357</v>
      </c>
      <c r="L104" s="1948">
        <f t="shared" si="26"/>
        <v>15.449964954717437</v>
      </c>
      <c r="M104" s="1369"/>
      <c r="N104" s="1948"/>
      <c r="O104" s="1949"/>
    </row>
    <row r="105" spans="1:17" ht="15.75" thickBot="1">
      <c r="A105" s="134"/>
      <c r="B105" s="137" t="s">
        <v>389</v>
      </c>
      <c r="C105" s="1234" t="s">
        <v>280</v>
      </c>
      <c r="D105" s="965"/>
      <c r="E105" s="965"/>
      <c r="F105" s="963"/>
      <c r="G105" s="965">
        <f>(G104/F104-1)*100</f>
        <v>63.031236961246663</v>
      </c>
      <c r="H105" s="965">
        <f>(H104/F104-1)*100</f>
        <v>153.75772125589</v>
      </c>
      <c r="I105" s="965">
        <f>(I104/H104-1)*100</f>
        <v>11.609917425167527</v>
      </c>
      <c r="J105" s="965">
        <f>(J104/I104-1)*100</f>
        <v>-30.281737574557987</v>
      </c>
      <c r="K105" s="965">
        <f>(K104/J104-1)*100</f>
        <v>15.787966429244204</v>
      </c>
      <c r="L105" s="1235">
        <f>(L104/K104-1)*100</f>
        <v>6.5280136823113066</v>
      </c>
      <c r="M105" s="964"/>
      <c r="N105" s="1236"/>
      <c r="O105" s="1233"/>
    </row>
    <row r="106" spans="1:17" ht="15.75" thickBot="1">
      <c r="A106" s="56"/>
      <c r="B106" s="213"/>
      <c r="C106" s="214"/>
      <c r="D106" s="215"/>
      <c r="E106" s="215"/>
      <c r="F106" s="1940" t="s">
        <v>1335</v>
      </c>
      <c r="G106" s="965">
        <f>(G104/F104-1)*100</f>
        <v>63.031236961246663</v>
      </c>
      <c r="H106" s="965">
        <f>(H104/F104-1)*100</f>
        <v>153.75772125589</v>
      </c>
      <c r="I106" s="965">
        <f>(I104/F104-1)*100</f>
        <v>183.21878315368559</v>
      </c>
      <c r="J106" s="965">
        <f>(J104/F104-1)*100</f>
        <v>97.455214477230086</v>
      </c>
      <c r="K106" s="965">
        <f>(K104/F104-1)*100</f>
        <v>128.62937745168733</v>
      </c>
      <c r="L106" s="965">
        <f>(L104/F104-1)*100</f>
        <v>143.55433449351662</v>
      </c>
      <c r="M106" s="215"/>
    </row>
    <row r="107" spans="1:17">
      <c r="A107" s="56"/>
      <c r="B107" s="213"/>
      <c r="C107" s="214"/>
      <c r="D107" s="215"/>
      <c r="E107" s="215"/>
      <c r="F107" s="215" t="s">
        <v>1361</v>
      </c>
      <c r="G107" s="1941">
        <f>G104*1.18</f>
        <v>12.203501716854905</v>
      </c>
      <c r="H107" s="1941">
        <f>H104*1.18</f>
        <v>18.994720550071953</v>
      </c>
      <c r="I107" s="1941">
        <f>I104*1.18</f>
        <v>21.199991921076634</v>
      </c>
      <c r="J107" s="1941">
        <f>J104*1.18</f>
        <v>14.780266001708714</v>
      </c>
      <c r="K107" s="1941">
        <f t="shared" ref="K107:L107" si="28">K104*1.18</f>
        <v>17.113769436211481</v>
      </c>
      <c r="L107" s="1941">
        <f t="shared" si="28"/>
        <v>18.230958646566574</v>
      </c>
      <c r="M107" s="215"/>
    </row>
    <row r="108" spans="1:17" ht="24.75">
      <c r="D108" s="1939"/>
      <c r="E108" s="790"/>
      <c r="F108" s="1939"/>
      <c r="G108" s="790"/>
      <c r="H108" s="2422"/>
      <c r="I108" s="2422"/>
      <c r="J108" s="2422"/>
      <c r="K108" s="2422"/>
      <c r="L108" s="1939"/>
      <c r="M108" s="2775" t="s">
        <v>370</v>
      </c>
      <c r="N108" s="1342" t="s">
        <v>1320</v>
      </c>
      <c r="O108" s="1342" t="s">
        <v>1321</v>
      </c>
      <c r="P108" s="1342" t="s">
        <v>1079</v>
      </c>
      <c r="Q108" s="1342" t="s">
        <v>1080</v>
      </c>
    </row>
    <row r="109" spans="1:17">
      <c r="D109" s="423"/>
      <c r="F109" s="423"/>
      <c r="G109" s="423"/>
      <c r="H109" s="1290"/>
      <c r="I109" s="1290"/>
      <c r="J109" s="1290"/>
      <c r="K109" s="1290"/>
      <c r="L109" s="423"/>
      <c r="M109" s="1343" t="s">
        <v>1078</v>
      </c>
      <c r="N109" s="1129">
        <f>J101/2</f>
        <v>24492.8505</v>
      </c>
      <c r="O109" s="1129">
        <f>J101-N109</f>
        <v>24492.8505</v>
      </c>
      <c r="P109" s="1344">
        <f>N109+O109</f>
        <v>48985.701000000001</v>
      </c>
      <c r="Q109" s="1"/>
    </row>
    <row r="110" spans="1:17" ht="18.75" customHeight="1">
      <c r="D110" s="423"/>
      <c r="H110" s="1290"/>
      <c r="I110" s="1290"/>
      <c r="J110" s="1290"/>
      <c r="K110" s="1290"/>
      <c r="M110" s="1343" t="s">
        <v>1081</v>
      </c>
      <c r="N110" s="92">
        <v>6.35</v>
      </c>
      <c r="O110" s="1358">
        <f>O111/O109</f>
        <v>18.701298307980874</v>
      </c>
      <c r="P110" s="1359"/>
      <c r="Q110" s="1346"/>
    </row>
    <row r="111" spans="1:17">
      <c r="D111" s="423"/>
      <c r="E111" s="423"/>
      <c r="F111" s="423"/>
      <c r="G111" s="423"/>
      <c r="H111" s="423"/>
      <c r="I111" s="423"/>
      <c r="J111" s="423"/>
      <c r="K111" s="423"/>
      <c r="L111" s="423"/>
      <c r="M111" s="1343" t="s">
        <v>1082</v>
      </c>
      <c r="N111" s="1345">
        <f>N109*N110</f>
        <v>155529.60067499999</v>
      </c>
      <c r="O111" s="1129">
        <f>J93-N111</f>
        <v>458048.10361327848</v>
      </c>
      <c r="P111" s="1344">
        <f>N111+O111</f>
        <v>613577.70428827847</v>
      </c>
      <c r="Q111" s="1"/>
    </row>
    <row r="112" spans="1:17">
      <c r="G112" s="423"/>
      <c r="H112" s="423"/>
      <c r="I112" s="423"/>
      <c r="J112" s="423"/>
      <c r="K112" s="423"/>
      <c r="L112" s="423"/>
      <c r="N112" s="2773">
        <f>N111*1.18</f>
        <v>183524.9287965</v>
      </c>
    </row>
    <row r="113" spans="3:15" hidden="1">
      <c r="C113" t="s">
        <v>1027</v>
      </c>
      <c r="D113" s="423"/>
    </row>
    <row r="114" spans="3:15">
      <c r="N114">
        <v>6.6</v>
      </c>
    </row>
    <row r="115" spans="3:15">
      <c r="N115" s="403">
        <f>N114*O109</f>
        <v>161652.81330000001</v>
      </c>
      <c r="O115" s="403">
        <f>O111-N115</f>
        <v>296395.29031327844</v>
      </c>
    </row>
    <row r="116" spans="3:15">
      <c r="D116" s="423"/>
      <c r="O116" s="403">
        <f>O115*1.18</f>
        <v>349746.44256966852</v>
      </c>
    </row>
  </sheetData>
  <mergeCells count="18">
    <mergeCell ref="A3:J3"/>
    <mergeCell ref="C4:F4"/>
    <mergeCell ref="A5:A7"/>
    <mergeCell ref="B5:B7"/>
    <mergeCell ref="C5:C7"/>
    <mergeCell ref="D5:L5"/>
    <mergeCell ref="O6:O7"/>
    <mergeCell ref="A76:A77"/>
    <mergeCell ref="M5:O5"/>
    <mergeCell ref="D6:E6"/>
    <mergeCell ref="F6:G6"/>
    <mergeCell ref="H6:H7"/>
    <mergeCell ref="I6:I7"/>
    <mergeCell ref="J6:J7"/>
    <mergeCell ref="K6:K7"/>
    <mergeCell ref="L6:L7"/>
    <mergeCell ref="M6:M7"/>
    <mergeCell ref="N6:N7"/>
  </mergeCells>
  <pageMargins left="0.25" right="0.25" top="0.75" bottom="0.75" header="0.3" footer="0.3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53"/>
  <sheetViews>
    <sheetView topLeftCell="A2" workbookViewId="0">
      <selection activeCell="G10" sqref="G10"/>
    </sheetView>
  </sheetViews>
  <sheetFormatPr defaultRowHeight="15"/>
  <cols>
    <col min="1" max="1" width="5.42578125" customWidth="1"/>
    <col min="2" max="2" width="30.28515625" bestFit="1" customWidth="1"/>
    <col min="4" max="4" width="14" customWidth="1"/>
    <col min="5" max="5" width="14.42578125" customWidth="1"/>
    <col min="6" max="6" width="18" customWidth="1"/>
    <col min="7" max="7" width="13.140625" customWidth="1"/>
    <col min="8" max="8" width="9.85546875" customWidth="1"/>
    <col min="9" max="9" width="20.42578125" customWidth="1"/>
    <col min="10" max="10" width="10.7109375" customWidth="1"/>
    <col min="11" max="11" width="10.28515625" bestFit="1" customWidth="1"/>
    <col min="12" max="12" width="22" customWidth="1"/>
  </cols>
  <sheetData>
    <row r="1" spans="1:12">
      <c r="A1" t="s">
        <v>524</v>
      </c>
    </row>
    <row r="2" spans="1:12" ht="15.75" thickBot="1">
      <c r="A2" t="s">
        <v>538</v>
      </c>
    </row>
    <row r="3" spans="1:12">
      <c r="A3" s="3572" t="s">
        <v>0</v>
      </c>
      <c r="B3" s="3566" t="s">
        <v>1</v>
      </c>
      <c r="C3" s="3566" t="s">
        <v>474</v>
      </c>
      <c r="D3" s="3566" t="s">
        <v>475</v>
      </c>
      <c r="E3" s="3566"/>
      <c r="F3" s="3566" t="s">
        <v>476</v>
      </c>
      <c r="G3" s="3568" t="s">
        <v>477</v>
      </c>
      <c r="H3" s="3569"/>
      <c r="I3" s="3566" t="s">
        <v>476</v>
      </c>
      <c r="J3" s="3568" t="s">
        <v>478</v>
      </c>
      <c r="K3" s="3569"/>
      <c r="L3" s="3570" t="s">
        <v>476</v>
      </c>
    </row>
    <row r="4" spans="1:12" ht="15.75" thickBot="1">
      <c r="A4" s="3573"/>
      <c r="B4" s="3567"/>
      <c r="C4" s="3567"/>
      <c r="D4" s="369" t="s">
        <v>479</v>
      </c>
      <c r="E4" s="369" t="s">
        <v>166</v>
      </c>
      <c r="F4" s="3567"/>
      <c r="G4" s="369" t="s">
        <v>479</v>
      </c>
      <c r="H4" s="369" t="s">
        <v>166</v>
      </c>
      <c r="I4" s="3567"/>
      <c r="J4" s="369" t="s">
        <v>479</v>
      </c>
      <c r="K4" s="369" t="s">
        <v>166</v>
      </c>
      <c r="L4" s="3571"/>
    </row>
    <row r="5" spans="1:12" ht="102" thickBot="1">
      <c r="A5" s="284" t="s">
        <v>147</v>
      </c>
      <c r="B5" s="285" t="s">
        <v>480</v>
      </c>
      <c r="C5" s="286" t="s">
        <v>481</v>
      </c>
      <c r="D5" s="285">
        <f>'Смета ВС_2016'!J105</f>
        <v>888123.60718210693</v>
      </c>
      <c r="E5" s="285">
        <f>'Смета ВО_2016'!F106</f>
        <v>48985.701000000001</v>
      </c>
      <c r="F5" s="378" t="s">
        <v>482</v>
      </c>
      <c r="G5" s="379"/>
      <c r="H5" s="285">
        <f>'Смета ВС_2016'!N105</f>
        <v>0</v>
      </c>
      <c r="I5" s="378" t="s">
        <v>482</v>
      </c>
      <c r="J5" s="285"/>
      <c r="K5" s="285">
        <f>'Смета ВС_2016'!O105</f>
        <v>0</v>
      </c>
      <c r="L5" s="289" t="s">
        <v>482</v>
      </c>
    </row>
    <row r="6" spans="1:12" ht="16.5" thickTop="1" thickBot="1">
      <c r="A6" s="284"/>
      <c r="B6" s="285"/>
      <c r="C6" s="286"/>
      <c r="D6" s="286"/>
      <c r="E6" s="286"/>
      <c r="F6" s="287"/>
      <c r="G6" s="288"/>
      <c r="H6" s="286"/>
      <c r="I6" s="287"/>
      <c r="J6" s="286"/>
      <c r="K6" s="286"/>
      <c r="L6" s="289"/>
    </row>
    <row r="7" spans="1:12" ht="33" thickTop="1" thickBot="1">
      <c r="A7" s="290"/>
      <c r="B7" s="291" t="s">
        <v>483</v>
      </c>
      <c r="C7" s="292" t="s">
        <v>11</v>
      </c>
      <c r="D7" s="985">
        <f>SUM(D8:D14)</f>
        <v>350119.8482095619</v>
      </c>
      <c r="E7" s="985">
        <f>SUM(E8:E14)</f>
        <v>331265.5907475666</v>
      </c>
      <c r="F7" s="986"/>
      <c r="G7" s="985">
        <f>SUM(G8:G14)</f>
        <v>93037.164391886836</v>
      </c>
      <c r="H7" s="293" t="e">
        <f>SUM(H8:H14)</f>
        <v>#VALUE!</v>
      </c>
      <c r="I7" s="292"/>
      <c r="J7" s="985">
        <f>SUM(J8:J14)</f>
        <v>93135.986354422697</v>
      </c>
      <c r="K7" s="293">
        <f>SUM(K8:K14)</f>
        <v>1956.7128205500003</v>
      </c>
      <c r="L7" s="292"/>
    </row>
    <row r="8" spans="1:12" ht="34.5" thickTop="1">
      <c r="A8" s="295"/>
      <c r="B8" s="296" t="s">
        <v>484</v>
      </c>
      <c r="C8" s="295" t="s">
        <v>11</v>
      </c>
      <c r="D8" s="817">
        <f>'Смета ВО_2016'!J11</f>
        <v>17499.431830990339</v>
      </c>
      <c r="E8" s="817">
        <f>'Смета ВО_2016'!M11</f>
        <v>8870.2345625732014</v>
      </c>
      <c r="F8" s="297" t="s">
        <v>485</v>
      </c>
      <c r="G8" s="818">
        <f>'Смета ВО_2016'!K11</f>
        <v>18251.907399722921</v>
      </c>
      <c r="H8" s="818">
        <f>'Смета ВО_2016'!N11</f>
        <v>0</v>
      </c>
      <c r="I8" s="298" t="s">
        <v>486</v>
      </c>
      <c r="J8" s="818">
        <f>'Смета ВО_2016'!L11</f>
        <v>19040.138909921297</v>
      </c>
      <c r="K8" s="818">
        <f>'Смета ВО_2016'!O11</f>
        <v>0</v>
      </c>
      <c r="L8" s="297" t="s">
        <v>487</v>
      </c>
    </row>
    <row r="9" spans="1:12" ht="33.75">
      <c r="A9" s="299"/>
      <c r="B9" s="300" t="s">
        <v>19</v>
      </c>
      <c r="C9" s="295" t="s">
        <v>11</v>
      </c>
      <c r="D9" s="818">
        <f>'Смета ВО_2016'!J15</f>
        <v>30911.45340260824</v>
      </c>
      <c r="E9" s="818">
        <f>'Смета ВО_2016'!M15</f>
        <v>27990.549336105989</v>
      </c>
      <c r="F9" s="303" t="s">
        <v>488</v>
      </c>
      <c r="G9" s="818">
        <f>'Смета ВО_2016'!K15</f>
        <v>32520.429449076968</v>
      </c>
      <c r="H9" s="818">
        <f>'Смета ВО_2016'!N15</f>
        <v>1899.7211850000003</v>
      </c>
      <c r="I9" s="304"/>
      <c r="J9" s="818">
        <f>'Смета ВО_2016'!L15</f>
        <v>34223.336851387277</v>
      </c>
      <c r="K9" s="818">
        <f>'Смета ВО_2016'!O15</f>
        <v>1956.7128205500003</v>
      </c>
      <c r="L9" s="305"/>
    </row>
    <row r="10" spans="1:12" ht="78.75">
      <c r="A10" s="299"/>
      <c r="B10" s="300" t="s">
        <v>31</v>
      </c>
      <c r="C10" s="295" t="s">
        <v>11</v>
      </c>
      <c r="D10" s="818">
        <f>'Смета ВО_2016'!J21</f>
        <v>115901.94</v>
      </c>
      <c r="E10" s="818">
        <f>'Смета ВО_2016'!M21</f>
        <v>115901.94</v>
      </c>
      <c r="F10" s="301" t="s">
        <v>489</v>
      </c>
      <c r="G10" s="818">
        <f>'Смета ВС_2016'!K20</f>
        <v>14227.513651289395</v>
      </c>
      <c r="H10" s="818">
        <f>'Смета ВО_2016'!N21</f>
        <v>0</v>
      </c>
      <c r="I10" s="301" t="s">
        <v>490</v>
      </c>
      <c r="J10" s="818">
        <f>'Смета ВС_2016'!L20</f>
        <v>14891.896871888763</v>
      </c>
      <c r="K10" s="818">
        <f>'Смета ВС_2016'!O20</f>
        <v>0</v>
      </c>
      <c r="L10" s="301" t="s">
        <v>490</v>
      </c>
    </row>
    <row r="11" spans="1:12" ht="45">
      <c r="A11" s="299"/>
      <c r="B11" s="300" t="s">
        <v>34</v>
      </c>
      <c r="C11" s="295" t="s">
        <v>11</v>
      </c>
      <c r="D11" s="818">
        <f>'Смета ВО_2016'!J23</f>
        <v>149281.81613289504</v>
      </c>
      <c r="E11" s="818">
        <f>'Смета ВО_2016'!M23</f>
        <v>149281.81613289504</v>
      </c>
      <c r="F11" s="303" t="s">
        <v>491</v>
      </c>
      <c r="G11" s="818">
        <f>'Смета ВС_2016'!K21</f>
        <v>0</v>
      </c>
      <c r="H11" s="818">
        <f>'Смета ВО_2016'!N23</f>
        <v>0</v>
      </c>
      <c r="I11" s="306" t="s">
        <v>492</v>
      </c>
      <c r="J11" s="818">
        <f>'Смета ВС_2016'!L21</f>
        <v>0</v>
      </c>
      <c r="K11" s="818">
        <f>'Смета ВС_2016'!O21</f>
        <v>0</v>
      </c>
      <c r="L11" s="306" t="s">
        <v>493</v>
      </c>
    </row>
    <row r="12" spans="1:12" ht="22.5">
      <c r="A12" s="299"/>
      <c r="B12" s="300" t="s">
        <v>39</v>
      </c>
      <c r="C12" s="295" t="s">
        <v>11</v>
      </c>
      <c r="D12" s="818">
        <f>'Смета ВО_2016'!J26</f>
        <v>17046.227650000001</v>
      </c>
      <c r="E12" s="818">
        <f>'Смета ВО_2016'!M26</f>
        <v>17046.227650000001</v>
      </c>
      <c r="F12" s="301" t="s">
        <v>490</v>
      </c>
      <c r="G12" s="818">
        <f>'Смета ВО_2016'!K26</f>
        <v>7702.916512499999</v>
      </c>
      <c r="H12" s="818">
        <f>'Смета ВО_2016'!N26</f>
        <v>0</v>
      </c>
      <c r="I12" s="301" t="s">
        <v>490</v>
      </c>
      <c r="J12" s="818">
        <f>'Смета ВО_2016'!L26</f>
        <v>3851.4582562499995</v>
      </c>
      <c r="K12" s="818">
        <f>'Смета ВО_2016'!O26</f>
        <v>0</v>
      </c>
      <c r="L12" s="301" t="s">
        <v>490</v>
      </c>
    </row>
    <row r="13" spans="1:12">
      <c r="A13" s="299"/>
      <c r="B13" s="300" t="s">
        <v>391</v>
      </c>
      <c r="C13" s="295" t="s">
        <v>11</v>
      </c>
      <c r="D13" s="818">
        <f>'Смета ВО_2016'!J27</f>
        <v>15762.784213813629</v>
      </c>
      <c r="E13" s="818">
        <f>'Смета ВО_2016'!M27</f>
        <v>9016.0431957204019</v>
      </c>
      <c r="F13" s="301" t="s">
        <v>490</v>
      </c>
      <c r="G13" s="439">
        <f>'Смета ВО_2016'!K27</f>
        <v>16494.768785727618</v>
      </c>
      <c r="H13" s="439">
        <f>'Смета ВО_2016'!N27</f>
        <v>0</v>
      </c>
      <c r="I13" s="301" t="s">
        <v>490</v>
      </c>
      <c r="J13" s="818">
        <f>'Смета ВО_2016'!L27</f>
        <v>17167.731179493905</v>
      </c>
      <c r="K13" s="818">
        <f>'Смета ВО_2016'!O27</f>
        <v>0</v>
      </c>
      <c r="L13" s="60"/>
    </row>
    <row r="14" spans="1:12" ht="45.75" thickBot="1">
      <c r="A14" s="307"/>
      <c r="B14" s="308" t="s">
        <v>43</v>
      </c>
      <c r="C14" s="295" t="s">
        <v>11</v>
      </c>
      <c r="D14" s="819">
        <f>'Смета ВО_2016'!J28</f>
        <v>3716.1949792546466</v>
      </c>
      <c r="E14" s="980">
        <f>'Смета ВО_2016'!M28</f>
        <v>3158.7798702720002</v>
      </c>
      <c r="F14" s="287" t="s">
        <v>494</v>
      </c>
      <c r="G14" s="818">
        <f>'Смета ВО_2016'!K28</f>
        <v>3839.6285935699461</v>
      </c>
      <c r="H14" s="818" t="e">
        <f>'Смета ВО_2016'!N28</f>
        <v>#VALUE!</v>
      </c>
      <c r="I14" s="306" t="s">
        <v>495</v>
      </c>
      <c r="J14" s="818">
        <f>'Смета ВО_2016'!L28</f>
        <v>3961.4242854814484</v>
      </c>
      <c r="K14" s="818">
        <f>'Смета ВО_2016'!O28</f>
        <v>0</v>
      </c>
      <c r="L14" s="306" t="s">
        <v>496</v>
      </c>
    </row>
    <row r="15" spans="1:12" ht="16.5" thickTop="1" thickBot="1">
      <c r="A15" s="292"/>
      <c r="B15" s="292" t="s">
        <v>497</v>
      </c>
      <c r="C15" s="292" t="s">
        <v>11</v>
      </c>
      <c r="D15" s="816">
        <f>SUM(D16:D18)</f>
        <v>30091.311472000001</v>
      </c>
      <c r="E15" s="816">
        <f>SUM(E16:E18)</f>
        <v>14257.022813113374</v>
      </c>
      <c r="F15" s="292"/>
      <c r="G15" s="816">
        <f>SUM(G16:G18)</f>
        <v>41307.512365296003</v>
      </c>
      <c r="H15" s="816">
        <f>SUM(H16:H18)</f>
        <v>0</v>
      </c>
      <c r="I15" s="292"/>
      <c r="J15" s="816">
        <f>SUM(J16:J18)</f>
        <v>27989.820473003732</v>
      </c>
      <c r="K15" s="816">
        <f>SUM(K16:K18)</f>
        <v>0</v>
      </c>
      <c r="L15" s="292"/>
    </row>
    <row r="16" spans="1:12" ht="57.75" thickTop="1" thickBot="1">
      <c r="A16" s="309"/>
      <c r="B16" s="310" t="s">
        <v>53</v>
      </c>
      <c r="C16" s="295" t="s">
        <v>11</v>
      </c>
      <c r="D16" s="820">
        <f>'Смета ВО_2016'!J35</f>
        <v>10862.6</v>
      </c>
      <c r="E16" s="820">
        <f>'Смета ВО_2016'!M35</f>
        <v>8856.7397999999994</v>
      </c>
      <c r="F16" s="311" t="s">
        <v>498</v>
      </c>
      <c r="G16" s="818">
        <f>'Смета ВО_2016'!K35</f>
        <v>11329.69</v>
      </c>
      <c r="H16" s="818">
        <f>'Смета ВО_2016'!N35</f>
        <v>0</v>
      </c>
      <c r="I16" s="306" t="s">
        <v>492</v>
      </c>
      <c r="J16" s="818">
        <f>'Смета ВО_2016'!L35</f>
        <v>11816.86</v>
      </c>
      <c r="K16" s="818">
        <f>'Смета ВО_2016'!O35</f>
        <v>0</v>
      </c>
      <c r="L16" s="306"/>
    </row>
    <row r="17" spans="1:12" ht="57.75" thickTop="1" thickBot="1">
      <c r="A17" s="299"/>
      <c r="B17" s="300" t="s">
        <v>55</v>
      </c>
      <c r="C17" s="299" t="s">
        <v>11</v>
      </c>
      <c r="D17" s="820">
        <f>'Смета ВО_2016'!J36</f>
        <v>13841.9</v>
      </c>
      <c r="E17" s="820">
        <f>'Смета ВО_2016'!M36</f>
        <v>0</v>
      </c>
      <c r="F17" s="301" t="s">
        <v>490</v>
      </c>
      <c r="G17" s="818">
        <f>'Смета ВО_2016'!K36</f>
        <v>24359.378000000001</v>
      </c>
      <c r="H17" s="818" t="str">
        <f>'Смета ВО_2016'!N36</f>
        <v xml:space="preserve"> за счёт амортизации</v>
      </c>
      <c r="I17" s="301" t="s">
        <v>490</v>
      </c>
      <c r="J17" s="818">
        <f>'Смета ВО_2016'!L36</f>
        <v>10312.923000000001</v>
      </c>
      <c r="K17" s="818">
        <f>'Смета ВО_2016'!O36</f>
        <v>0</v>
      </c>
      <c r="L17" s="301" t="s">
        <v>490</v>
      </c>
    </row>
    <row r="18" spans="1:12" ht="35.25" thickTop="1" thickBot="1">
      <c r="A18" s="295"/>
      <c r="B18" s="308" t="s">
        <v>57</v>
      </c>
      <c r="C18" s="312" t="s">
        <v>11</v>
      </c>
      <c r="D18" s="820">
        <f>'Смета ВО_2016'!J37</f>
        <v>5386.8114720000003</v>
      </c>
      <c r="E18" s="820">
        <f>'Смета ВО_2016'!M37</f>
        <v>5400.2830131133733</v>
      </c>
      <c r="F18" s="313" t="s">
        <v>491</v>
      </c>
      <c r="G18" s="818">
        <f>'Смета ВО_2016'!K37</f>
        <v>5618.4443652959999</v>
      </c>
      <c r="H18" s="818">
        <f>'Смета ВО_2016'!N37</f>
        <v>0</v>
      </c>
      <c r="I18" s="306" t="s">
        <v>492</v>
      </c>
      <c r="J18" s="818">
        <f>'Смета ВО_2016'!L37</f>
        <v>5860.0374730037274</v>
      </c>
      <c r="K18" s="818">
        <f>'Смета ВО_2016'!O37</f>
        <v>0</v>
      </c>
      <c r="L18" s="306" t="s">
        <v>493</v>
      </c>
    </row>
    <row r="19" spans="1:12" ht="16.5" thickTop="1" thickBot="1">
      <c r="A19" s="292"/>
      <c r="B19" s="292" t="s">
        <v>499</v>
      </c>
      <c r="C19" s="292" t="s">
        <v>11</v>
      </c>
      <c r="D19" s="816">
        <f>SUM(D20:D22)</f>
        <v>31356.86717256275</v>
      </c>
      <c r="E19" s="816">
        <f>SUM(E20:E22)</f>
        <v>21532.836633801424</v>
      </c>
      <c r="F19" s="292"/>
      <c r="G19" s="816">
        <f>SUM(G20:G22)</f>
        <v>28230.087305949546</v>
      </c>
      <c r="H19" s="816">
        <f>SUM(H20:H22)</f>
        <v>0</v>
      </c>
      <c r="I19" s="292"/>
      <c r="J19" s="816">
        <f>SUM(J20:J22)</f>
        <v>29443.98106010538</v>
      </c>
      <c r="K19" s="816">
        <f>SUM(K20:K22)</f>
        <v>0</v>
      </c>
      <c r="L19" s="292"/>
    </row>
    <row r="20" spans="1:12" ht="39" thickTop="1">
      <c r="A20" s="299"/>
      <c r="B20" s="314" t="s">
        <v>65</v>
      </c>
      <c r="C20" s="295" t="s">
        <v>11</v>
      </c>
      <c r="D20" s="817">
        <f>'Смета ВО_2016'!J41</f>
        <v>4381.9272727999996</v>
      </c>
      <c r="E20" s="817">
        <f>'Смета ВО_2016'!M41</f>
        <v>2696.8776603104006</v>
      </c>
      <c r="F20" s="301" t="s">
        <v>490</v>
      </c>
      <c r="G20" s="818">
        <f>'Смета ВО_2016'!K41</f>
        <v>0</v>
      </c>
      <c r="H20" s="818">
        <f>'Смета ВО_2016'!N41</f>
        <v>0</v>
      </c>
      <c r="I20" s="301" t="s">
        <v>490</v>
      </c>
      <c r="J20" s="818">
        <f>'Смета ВО_2016'!L41</f>
        <v>0</v>
      </c>
      <c r="K20" s="818">
        <f>'Смета ВО_2016'!O41</f>
        <v>0</v>
      </c>
      <c r="L20" s="301" t="s">
        <v>490</v>
      </c>
    </row>
    <row r="21" spans="1:12" ht="63.75">
      <c r="A21" s="299"/>
      <c r="B21" s="219" t="s">
        <v>81</v>
      </c>
      <c r="C21" s="295" t="s">
        <v>11</v>
      </c>
      <c r="D21" s="817">
        <f>'Смета ВО_2016'!J50</f>
        <v>26974.93989976275</v>
      </c>
      <c r="E21" s="817">
        <f>'Смета ВО_2016'!M50</f>
        <v>18831.865917491021</v>
      </c>
      <c r="F21" s="315" t="s">
        <v>491</v>
      </c>
      <c r="G21" s="818">
        <f>'Смета ВО_2016'!K50</f>
        <v>28230.087305949546</v>
      </c>
      <c r="H21" s="818">
        <f>'Смета ВО_2016'!N50</f>
        <v>0</v>
      </c>
      <c r="I21" s="306" t="s">
        <v>492</v>
      </c>
      <c r="J21" s="818">
        <f>'Смета ВО_2016'!L50</f>
        <v>29443.98106010538</v>
      </c>
      <c r="K21" s="818">
        <f>'Смета ВС_2016'!O46</f>
        <v>0</v>
      </c>
      <c r="L21" s="306" t="s">
        <v>493</v>
      </c>
    </row>
    <row r="22" spans="1:12" ht="76.5">
      <c r="A22" s="299"/>
      <c r="B22" s="219" t="s">
        <v>87</v>
      </c>
      <c r="C22" s="295" t="s">
        <v>11</v>
      </c>
      <c r="D22" s="818">
        <f>'Смета ВО_2016'!J53</f>
        <v>0</v>
      </c>
      <c r="E22" s="818">
        <f>'Смета ВО_2016'!M53</f>
        <v>4.0930559999999998</v>
      </c>
      <c r="F22" s="301" t="s">
        <v>490</v>
      </c>
      <c r="G22" s="818">
        <f>'Смета ВО_2016'!K53</f>
        <v>0</v>
      </c>
      <c r="H22" s="818">
        <f>'Смета ВО_2016'!N53</f>
        <v>0</v>
      </c>
      <c r="I22" s="301" t="s">
        <v>490</v>
      </c>
      <c r="J22" s="818">
        <f>'Смета ВО_2016'!L53</f>
        <v>0</v>
      </c>
      <c r="K22" s="818">
        <f>'Смета ВО_2016'!O53</f>
        <v>0</v>
      </c>
      <c r="L22" s="301" t="s">
        <v>490</v>
      </c>
    </row>
    <row r="23" spans="1:12">
      <c r="A23" s="299"/>
      <c r="B23" s="219" t="s">
        <v>89</v>
      </c>
      <c r="C23" s="295" t="s">
        <v>11</v>
      </c>
      <c r="D23" s="818">
        <f>'Смета ВО_2016'!J54</f>
        <v>0</v>
      </c>
      <c r="E23" s="818">
        <f>'Смета ВО_2016'!M54</f>
        <v>184.18752000000003</v>
      </c>
      <c r="F23" s="301" t="s">
        <v>490</v>
      </c>
      <c r="G23" s="818">
        <f>'Смета ВО_2016'!K54</f>
        <v>0</v>
      </c>
      <c r="H23" s="818">
        <f>'Смета ВО_2016'!N54</f>
        <v>0</v>
      </c>
      <c r="I23" s="301" t="s">
        <v>490</v>
      </c>
      <c r="J23" s="818">
        <f>'Смета ВО_2016'!L54</f>
        <v>0</v>
      </c>
      <c r="K23" s="818">
        <f>'Смета ВО_2016'!O54</f>
        <v>0</v>
      </c>
      <c r="L23" s="301" t="s">
        <v>490</v>
      </c>
    </row>
    <row r="24" spans="1:12">
      <c r="A24" s="299"/>
      <c r="B24" s="219" t="s">
        <v>91</v>
      </c>
      <c r="C24" s="295" t="s">
        <v>11</v>
      </c>
      <c r="D24" s="818">
        <f>'Смета ВО_2016'!J55</f>
        <v>0</v>
      </c>
      <c r="E24" s="818">
        <f>'Смета ВО_2016'!M55</f>
        <v>192.69921600000001</v>
      </c>
      <c r="F24" s="301" t="s">
        <v>490</v>
      </c>
      <c r="G24" s="818">
        <f>'Смета ВО_2016'!K55</f>
        <v>0</v>
      </c>
      <c r="H24" s="818">
        <f>'Смета ВО_2016'!N55</f>
        <v>0</v>
      </c>
      <c r="I24" s="301" t="s">
        <v>490</v>
      </c>
      <c r="J24" s="818">
        <f>'Смета ВО_2016'!L55</f>
        <v>0</v>
      </c>
      <c r="K24" s="818">
        <f>'Смета ВО_2016'!O55</f>
        <v>0</v>
      </c>
      <c r="L24" s="301" t="s">
        <v>490</v>
      </c>
    </row>
    <row r="25" spans="1:12" ht="25.5">
      <c r="A25" s="299"/>
      <c r="B25" s="219" t="s">
        <v>93</v>
      </c>
      <c r="C25" s="295" t="s">
        <v>11</v>
      </c>
      <c r="D25" s="818">
        <f>'Смета ВО_2016'!J56</f>
        <v>0</v>
      </c>
      <c r="E25" s="818">
        <f>'Смета ВО_2016'!M56</f>
        <v>35.390239192000003</v>
      </c>
      <c r="F25" s="301" t="s">
        <v>490</v>
      </c>
      <c r="G25" s="818">
        <f>'Смета ВО_2016'!K56</f>
        <v>0</v>
      </c>
      <c r="H25" s="818">
        <f>'Смета ВО_2016'!N56</f>
        <v>0</v>
      </c>
      <c r="I25" s="301" t="s">
        <v>490</v>
      </c>
      <c r="J25" s="818">
        <f>'Смета ВО_2016'!L56</f>
        <v>0</v>
      </c>
      <c r="K25" s="818">
        <f>'Смета ВО_2016'!O56</f>
        <v>0</v>
      </c>
      <c r="L25" s="301" t="s">
        <v>490</v>
      </c>
    </row>
    <row r="26" spans="1:12" ht="25.5">
      <c r="A26" s="1"/>
      <c r="B26" s="219" t="s">
        <v>95</v>
      </c>
      <c r="C26" s="295" t="s">
        <v>11</v>
      </c>
      <c r="D26" s="818">
        <f>'Смета ВО_2016'!J57</f>
        <v>0</v>
      </c>
      <c r="E26" s="818">
        <f>'Смета ВО_2016'!M57</f>
        <v>6061.2206026530803</v>
      </c>
      <c r="F26" s="301" t="s">
        <v>490</v>
      </c>
      <c r="G26" s="818">
        <f>'Смета ВО_2016'!K57</f>
        <v>0</v>
      </c>
      <c r="H26" s="818">
        <f>'Смета ВО_2016'!N57</f>
        <v>0</v>
      </c>
      <c r="I26" s="301" t="s">
        <v>490</v>
      </c>
      <c r="J26" s="818">
        <f>'Смета ВО_2016'!L57</f>
        <v>0</v>
      </c>
      <c r="K26" s="818">
        <f>'Смета ВО_2016'!O57</f>
        <v>0</v>
      </c>
      <c r="L26" s="301" t="s">
        <v>490</v>
      </c>
    </row>
    <row r="27" spans="1:12" ht="25.5">
      <c r="A27" s="1"/>
      <c r="B27" s="219" t="s">
        <v>390</v>
      </c>
      <c r="C27" s="295" t="s">
        <v>11</v>
      </c>
      <c r="D27" s="818" t="e">
        <f>'Смета ВО_2016'!#REF!</f>
        <v>#REF!</v>
      </c>
      <c r="E27" s="818">
        <f>'Смета ВО_2016'!M63</f>
        <v>4707.4972000000007</v>
      </c>
      <c r="F27" s="301" t="s">
        <v>490</v>
      </c>
      <c r="G27" s="818">
        <f>'Смета ВО_2016'!K63</f>
        <v>0</v>
      </c>
      <c r="H27" s="818" t="e">
        <f>'Смета ВО_2016'!#REF!</f>
        <v>#REF!</v>
      </c>
      <c r="I27" s="301" t="s">
        <v>490</v>
      </c>
      <c r="J27" s="818">
        <f>'Смета ВО_2016'!L63</f>
        <v>0</v>
      </c>
      <c r="K27" s="818" t="e">
        <f>'Смета ВО_2016'!#REF!</f>
        <v>#REF!</v>
      </c>
      <c r="L27" s="301" t="s">
        <v>490</v>
      </c>
    </row>
    <row r="28" spans="1:12" ht="26.25" thickBot="1">
      <c r="A28" s="1"/>
      <c r="B28" s="219" t="s">
        <v>98</v>
      </c>
      <c r="C28" s="295" t="s">
        <v>11</v>
      </c>
      <c r="D28" s="981">
        <f>'Смета ВО_2016'!J63</f>
        <v>0</v>
      </c>
      <c r="E28" s="981" t="e">
        <f>'Смета ВО_2016'!#REF!</f>
        <v>#REF!</v>
      </c>
      <c r="F28" s="301" t="s">
        <v>490</v>
      </c>
      <c r="G28" s="981" t="e">
        <f>'Смета ВО_2016'!#REF!</f>
        <v>#REF!</v>
      </c>
      <c r="H28" s="981">
        <f>'Смета ВО_2016'!N63</f>
        <v>0</v>
      </c>
      <c r="I28" s="301" t="s">
        <v>490</v>
      </c>
      <c r="J28" s="981" t="e">
        <f>'Смета ВО_2016'!#REF!</f>
        <v>#REF!</v>
      </c>
      <c r="K28" s="981">
        <f>'Смета ВО_2016'!O63</f>
        <v>0</v>
      </c>
      <c r="L28" s="301" t="s">
        <v>490</v>
      </c>
    </row>
    <row r="29" spans="1:12" ht="25.5" thickTop="1" thickBot="1">
      <c r="A29" s="292"/>
      <c r="B29" s="292" t="s">
        <v>500</v>
      </c>
      <c r="C29" s="292" t="s">
        <v>11</v>
      </c>
      <c r="D29" s="816">
        <f>'Смета ВО_2016'!J65</f>
        <v>0</v>
      </c>
      <c r="E29" s="816">
        <f>'Смета ВО_2016'!M65</f>
        <v>3449.4655256599995</v>
      </c>
      <c r="F29" s="293" t="s">
        <v>490</v>
      </c>
      <c r="G29" s="984">
        <f>'Смета ВО_2016'!K65</f>
        <v>0</v>
      </c>
      <c r="H29" s="984">
        <f>'Смета ВО_2016'!N65</f>
        <v>0</v>
      </c>
      <c r="I29" s="293" t="s">
        <v>490</v>
      </c>
      <c r="J29" s="984">
        <f>'Смета ВО_2016'!L65</f>
        <v>0</v>
      </c>
      <c r="K29" s="984">
        <f>'Смета ВО_2016'!O65</f>
        <v>0</v>
      </c>
      <c r="L29" s="293" t="s">
        <v>490</v>
      </c>
    </row>
    <row r="30" spans="1:12" ht="16.5" thickTop="1" thickBot="1">
      <c r="A30" s="292"/>
      <c r="B30" s="292" t="s">
        <v>501</v>
      </c>
      <c r="C30" s="292" t="s">
        <v>11</v>
      </c>
      <c r="D30" s="816">
        <f>'Смета ВО_2016'!J67</f>
        <v>41126.863845</v>
      </c>
      <c r="E30" s="816">
        <f>'Смета ВО_2016'!M67</f>
        <v>43479.113069999999</v>
      </c>
      <c r="F30" s="293" t="s">
        <v>490</v>
      </c>
      <c r="G30" s="816">
        <f>'Смета ВО_2016'!K67</f>
        <v>69815.529024999996</v>
      </c>
      <c r="H30" s="816">
        <f>'Смета ВО_2016'!N67</f>
        <v>0</v>
      </c>
      <c r="I30" s="293" t="s">
        <v>490</v>
      </c>
      <c r="J30" s="816">
        <f>'Смета ВО_2016'!L67</f>
        <v>119156.89571999999</v>
      </c>
      <c r="K30" s="816">
        <f>'Смета ВО_2016'!O67</f>
        <v>0</v>
      </c>
      <c r="L30" s="293" t="s">
        <v>490</v>
      </c>
    </row>
    <row r="31" spans="1:12" ht="37.5" thickTop="1" thickBot="1">
      <c r="A31" s="316"/>
      <c r="B31" s="292" t="s">
        <v>502</v>
      </c>
      <c r="C31" s="292" t="s">
        <v>11</v>
      </c>
      <c r="D31" s="816">
        <f>'Смета ВО_2016'!J69</f>
        <v>0</v>
      </c>
      <c r="E31" s="816">
        <f>'Смета ВО_2016'!M69</f>
        <v>0</v>
      </c>
      <c r="F31" s="293" t="s">
        <v>490</v>
      </c>
      <c r="G31" s="816">
        <f>'Смета ВО_2016'!K69</f>
        <v>0</v>
      </c>
      <c r="H31" s="816">
        <f>'Смета ВО_2016'!N69</f>
        <v>0</v>
      </c>
      <c r="I31" s="293" t="s">
        <v>490</v>
      </c>
      <c r="J31" s="816">
        <f>'Смета ВО_2016'!L69</f>
        <v>0</v>
      </c>
      <c r="K31" s="816">
        <f>'Смета ВО_2016'!O69</f>
        <v>0</v>
      </c>
      <c r="L31" s="293" t="s">
        <v>490</v>
      </c>
    </row>
    <row r="32" spans="1:12" ht="25.5" thickTop="1" thickBot="1">
      <c r="A32" s="316"/>
      <c r="B32" s="292" t="s">
        <v>503</v>
      </c>
      <c r="C32" s="292" t="s">
        <v>11</v>
      </c>
      <c r="D32" s="982">
        <f>SUM(D33:D38)</f>
        <v>51753.20993528</v>
      </c>
      <c r="E32" s="982">
        <f>SUM(E33:E38)</f>
        <v>30011.092599103999</v>
      </c>
      <c r="F32" s="293" t="s">
        <v>490</v>
      </c>
      <c r="G32" s="982">
        <f>SUM(G33:G38)</f>
        <v>52299.822748811835</v>
      </c>
      <c r="H32" s="982">
        <f>SUM(H33:H38)</f>
        <v>0</v>
      </c>
      <c r="I32" s="377"/>
      <c r="J32" s="982">
        <f>SUM(J33:J38)</f>
        <v>52871.093995604948</v>
      </c>
      <c r="K32" s="982">
        <f>SUM(K33:K38)</f>
        <v>0</v>
      </c>
      <c r="L32" s="338"/>
    </row>
    <row r="33" spans="1:12" ht="15.75" thickTop="1">
      <c r="A33" s="1"/>
      <c r="B33" s="317" t="s">
        <v>119</v>
      </c>
      <c r="C33" s="318" t="s">
        <v>11</v>
      </c>
      <c r="D33" s="822">
        <f>'Смета ВО_2016'!J75</f>
        <v>45072.691396975999</v>
      </c>
      <c r="E33" s="822">
        <f>'Смета ВО_2016'!M75</f>
        <v>24370</v>
      </c>
      <c r="F33" s="301" t="s">
        <v>490</v>
      </c>
      <c r="G33" s="452">
        <f>'Смета ВО_2016'!K75</f>
        <v>45552.499025124802</v>
      </c>
      <c r="H33" s="452">
        <f>'Смета ВО_2016'!N75</f>
        <v>0</v>
      </c>
      <c r="I33" s="301" t="s">
        <v>490</v>
      </c>
      <c r="J33" s="452">
        <f>'Смета ВО_2016'!L75</f>
        <v>46056.29703468104</v>
      </c>
      <c r="K33" s="452">
        <f>'Смета ВО_2016'!O75</f>
        <v>0</v>
      </c>
      <c r="L33" s="301" t="s">
        <v>490</v>
      </c>
    </row>
    <row r="34" spans="1:12" ht="25.5">
      <c r="A34" s="1"/>
      <c r="B34" s="224" t="s">
        <v>121</v>
      </c>
      <c r="C34" s="318" t="s">
        <v>11</v>
      </c>
      <c r="D34" s="822">
        <f>'Смета ВО_2016'!J76</f>
        <v>0</v>
      </c>
      <c r="E34" s="822">
        <f>'Смета ВО_2016'!M76</f>
        <v>0</v>
      </c>
      <c r="F34" s="301" t="s">
        <v>490</v>
      </c>
      <c r="G34" s="452">
        <f>'Смета ВО_2016'!K76</f>
        <v>0</v>
      </c>
      <c r="H34" s="452">
        <f>'Смета ВО_2016'!N76</f>
        <v>0</v>
      </c>
      <c r="I34" s="301" t="s">
        <v>490</v>
      </c>
      <c r="J34" s="452">
        <f>'Смета ВО_2016'!L76</f>
        <v>0</v>
      </c>
      <c r="K34" s="452">
        <f>'Смета ВО_2016'!O76</f>
        <v>0</v>
      </c>
      <c r="L34" s="301" t="s">
        <v>490</v>
      </c>
    </row>
    <row r="35" spans="1:12" ht="38.25">
      <c r="A35" s="1"/>
      <c r="B35" s="224" t="s">
        <v>123</v>
      </c>
      <c r="C35" s="318" t="s">
        <v>11</v>
      </c>
      <c r="D35" s="822">
        <f>'Смета ВО_2016'!J77</f>
        <v>0</v>
      </c>
      <c r="E35" s="822">
        <f>'Смета ВО_2016'!M77</f>
        <v>0</v>
      </c>
      <c r="F35" s="301" t="s">
        <v>490</v>
      </c>
      <c r="G35" s="452">
        <f>'Смета ВО_2016'!K77</f>
        <v>0</v>
      </c>
      <c r="H35" s="452">
        <f>'Смета ВО_2016'!N77</f>
        <v>0</v>
      </c>
      <c r="I35" s="301" t="s">
        <v>490</v>
      </c>
      <c r="J35" s="452">
        <f>'Смета ВО_2016'!L77</f>
        <v>0</v>
      </c>
      <c r="K35" s="452">
        <f>'Смета ВО_2016'!O77</f>
        <v>0</v>
      </c>
      <c r="L35" s="301" t="s">
        <v>490</v>
      </c>
    </row>
    <row r="36" spans="1:12">
      <c r="A36" s="1"/>
      <c r="B36" s="317" t="s">
        <v>125</v>
      </c>
      <c r="C36" s="318" t="s">
        <v>11</v>
      </c>
      <c r="D36" s="822">
        <f>'Смета ВО_2016'!J78</f>
        <v>6365.4259391999994</v>
      </c>
      <c r="E36" s="822">
        <f>'Смета ВО_2016'!M78</f>
        <v>5326</v>
      </c>
      <c r="F36" s="301" t="s">
        <v>490</v>
      </c>
      <c r="G36" s="452">
        <f>'Смета ВО_2016'!K78</f>
        <v>6429.0801985919998</v>
      </c>
      <c r="H36" s="452">
        <f>'Смета ВО_2016'!N78</f>
        <v>0</v>
      </c>
      <c r="I36" s="301" t="s">
        <v>490</v>
      </c>
      <c r="J36" s="452">
        <f>'Смета ВО_2016'!L78</f>
        <v>6493.3710005779203</v>
      </c>
      <c r="K36" s="452">
        <f>'Смета ВО_2016'!O78</f>
        <v>0</v>
      </c>
      <c r="L36" s="301" t="s">
        <v>490</v>
      </c>
    </row>
    <row r="37" spans="1:12">
      <c r="A37" s="1"/>
      <c r="B37" s="317" t="s">
        <v>127</v>
      </c>
      <c r="C37" s="318" t="s">
        <v>11</v>
      </c>
      <c r="D37" s="822">
        <f>'Смета ВО_2016'!J79</f>
        <v>315.09259910399999</v>
      </c>
      <c r="E37" s="822">
        <f>'Смета ВО_2016'!M79</f>
        <v>315.09259910399999</v>
      </c>
      <c r="F37" s="301" t="s">
        <v>490</v>
      </c>
      <c r="G37" s="452">
        <f>'Смета ВО_2016'!K79</f>
        <v>318.24352509504001</v>
      </c>
      <c r="H37" s="452">
        <f>'Смета ВО_2016'!N79</f>
        <v>0</v>
      </c>
      <c r="I37" s="301" t="s">
        <v>490</v>
      </c>
      <c r="J37" s="452">
        <f>'Смета ВО_2016'!L79</f>
        <v>321.42596034599035</v>
      </c>
      <c r="K37" s="452">
        <f>'Смета ВО_2016'!O79</f>
        <v>0</v>
      </c>
      <c r="L37" s="301" t="s">
        <v>490</v>
      </c>
    </row>
    <row r="38" spans="1:12" ht="77.25" thickBot="1">
      <c r="A38" s="1"/>
      <c r="B38" s="224" t="s">
        <v>129</v>
      </c>
      <c r="C38" s="318" t="s">
        <v>11</v>
      </c>
      <c r="D38" s="983">
        <f>'Смета ВО_2016'!J80</f>
        <v>0</v>
      </c>
      <c r="E38" s="983">
        <f>'Смета ВО_2016'!M80</f>
        <v>0</v>
      </c>
      <c r="F38" s="301" t="s">
        <v>490</v>
      </c>
      <c r="G38" s="452">
        <f>'Смета ВО_2016'!K80</f>
        <v>0</v>
      </c>
      <c r="H38" s="452">
        <f>'Смета ВО_2016'!N80</f>
        <v>0</v>
      </c>
      <c r="I38" s="301" t="s">
        <v>490</v>
      </c>
      <c r="J38" s="452">
        <f>'Смета ВО_2016'!L80</f>
        <v>0</v>
      </c>
      <c r="K38" s="452">
        <f>'Смета ВО_2016'!O80</f>
        <v>0</v>
      </c>
      <c r="L38" s="301" t="s">
        <v>490</v>
      </c>
    </row>
    <row r="39" spans="1:12" ht="17.25" thickTop="1" thickBot="1">
      <c r="A39" s="1"/>
      <c r="B39" s="321" t="s">
        <v>504</v>
      </c>
      <c r="C39" s="322" t="s">
        <v>11</v>
      </c>
      <c r="D39" s="827">
        <f>D7+D15+D19+D29+D30+D31+D32</f>
        <v>504448.10063440457</v>
      </c>
      <c r="E39" s="827">
        <f>E7+E15+E19+E29+E30+E31+E32</f>
        <v>443995.12138924538</v>
      </c>
      <c r="F39" s="340"/>
      <c r="G39" s="836">
        <f>G7+G15+G19+G29+G30+G31+G32</f>
        <v>284690.1158369442</v>
      </c>
      <c r="H39" s="836" t="e">
        <f>H7+H15+H19+H29+H30+H31+H32</f>
        <v>#VALUE!</v>
      </c>
      <c r="I39" s="340"/>
      <c r="J39" s="836">
        <f>J7+J15+J19+J29+J30+J31+J32</f>
        <v>322597.77760313672</v>
      </c>
      <c r="K39" s="836">
        <f>K7+K15+K19+K29+K30+K31+K32</f>
        <v>1956.7128205500003</v>
      </c>
      <c r="L39" s="340"/>
    </row>
    <row r="40" spans="1:12" ht="15.75" thickTop="1">
      <c r="A40" s="40"/>
      <c r="B40" s="324" t="s">
        <v>131</v>
      </c>
      <c r="C40" s="324" t="s">
        <v>11</v>
      </c>
      <c r="D40" s="828">
        <f>SUM(D41:D46)</f>
        <v>35647.159592416741</v>
      </c>
      <c r="E40" s="828">
        <f>SUM(E41:E46)</f>
        <v>11827.86</v>
      </c>
      <c r="F40" s="156"/>
      <c r="G40" s="828">
        <f>SUM(G41:G46)</f>
        <v>44068.245324485208</v>
      </c>
      <c r="H40" s="828">
        <f>SUM(H41:H46)</f>
        <v>0</v>
      </c>
      <c r="I40" s="156"/>
      <c r="J40" s="828">
        <f>SUM(J41:J46)</f>
        <v>41343.433047625658</v>
      </c>
      <c r="K40" s="828">
        <f>SUM(K41:K46)</f>
        <v>0</v>
      </c>
      <c r="L40" s="156"/>
    </row>
    <row r="41" spans="1:12">
      <c r="A41" s="1"/>
      <c r="B41" s="115" t="s">
        <v>505</v>
      </c>
      <c r="C41" s="115" t="s">
        <v>11</v>
      </c>
      <c r="D41" s="829">
        <f>'Смета ВО_2016'!J87</f>
        <v>5763.1919526846004</v>
      </c>
      <c r="E41" s="829">
        <f>'Смета ВО_2016'!M87</f>
        <v>10018</v>
      </c>
      <c r="F41" s="26"/>
      <c r="G41" s="829">
        <f>'Смета ВО_2016'!K87</f>
        <v>7359.3921788877042</v>
      </c>
      <c r="H41" s="829">
        <f>'Смета ВО_2016'!N87</f>
        <v>0</v>
      </c>
      <c r="I41" s="26"/>
      <c r="J41" s="829">
        <f>'Смета ВО_2016'!L87</f>
        <v>6903.6616599371209</v>
      </c>
      <c r="K41" s="829">
        <f>'Смета ВО_2016'!O87</f>
        <v>0</v>
      </c>
      <c r="L41" s="26"/>
    </row>
    <row r="42" spans="1:12" ht="25.5">
      <c r="A42" s="1"/>
      <c r="B42" s="224" t="s">
        <v>133</v>
      </c>
      <c r="C42" s="115" t="s">
        <v>11</v>
      </c>
      <c r="D42" s="829">
        <f>'Смета ВО_2016'!J88</f>
        <v>0</v>
      </c>
      <c r="E42" s="829">
        <f>'Смета ВО_2016'!M88</f>
        <v>0</v>
      </c>
      <c r="F42" s="92"/>
      <c r="G42" s="829">
        <f>'Смета ВО_2016'!K88</f>
        <v>0</v>
      </c>
      <c r="H42" s="829">
        <f>'Смета ВО_2016'!N88</f>
        <v>0</v>
      </c>
      <c r="I42" s="92"/>
      <c r="J42" s="829">
        <f>'Смета ВО_2016'!L88</f>
        <v>0</v>
      </c>
      <c r="K42" s="829">
        <f>'Смета ВО_2016'!O88</f>
        <v>0</v>
      </c>
      <c r="L42" s="92"/>
    </row>
    <row r="43" spans="1:12">
      <c r="A43" s="1"/>
      <c r="B43" s="317" t="s">
        <v>136</v>
      </c>
      <c r="C43" s="115" t="s">
        <v>11</v>
      </c>
      <c r="D43" s="829">
        <f>'Смета ВО_2016'!J89</f>
        <v>0</v>
      </c>
      <c r="E43" s="829">
        <f>'Смета ВО_2016'!M89</f>
        <v>0</v>
      </c>
      <c r="F43" s="92"/>
      <c r="G43" s="829">
        <f>'Смета ВО_2016'!K89</f>
        <v>0</v>
      </c>
      <c r="H43" s="829">
        <f>'Смета ВО_2016'!N89</f>
        <v>0</v>
      </c>
      <c r="I43" s="92"/>
      <c r="J43" s="829">
        <f>'Смета ВО_2016'!L89</f>
        <v>0</v>
      </c>
      <c r="K43" s="829">
        <f>'Смета ВО_2016'!O89</f>
        <v>0</v>
      </c>
      <c r="L43" s="92"/>
    </row>
    <row r="44" spans="1:12" ht="63.75">
      <c r="A44" s="1"/>
      <c r="B44" s="325" t="s">
        <v>506</v>
      </c>
      <c r="C44" s="326" t="s">
        <v>11</v>
      </c>
      <c r="D44" s="829">
        <f>'Смета ВО_2016'!J90</f>
        <v>1809.8610606999998</v>
      </c>
      <c r="E44" s="829">
        <f>'Смета ВО_2016'!M90</f>
        <v>1809.86</v>
      </c>
      <c r="F44" s="306"/>
      <c r="G44" s="829">
        <f>'Смета ВО_2016'!K90</f>
        <v>1887.6850863100997</v>
      </c>
      <c r="H44" s="829">
        <f>'Смета ВО_2016'!N90</f>
        <v>0</v>
      </c>
      <c r="I44" s="301"/>
      <c r="J44" s="829">
        <f>'Смета ВО_2016'!L90</f>
        <v>1968.8555450214337</v>
      </c>
      <c r="K44" s="829">
        <f>'Смета ВО_2016'!O90</f>
        <v>0</v>
      </c>
      <c r="L44" s="306"/>
    </row>
    <row r="45" spans="1:12" ht="63.75">
      <c r="A45" s="1"/>
      <c r="B45" s="224" t="s">
        <v>145</v>
      </c>
      <c r="C45" s="326" t="s">
        <v>11</v>
      </c>
      <c r="D45" s="829">
        <f>'Смета ВО_2016'!J91</f>
        <v>0</v>
      </c>
      <c r="E45" s="829">
        <f>'Смета ВО_2016'!M91</f>
        <v>0</v>
      </c>
      <c r="F45" s="92"/>
      <c r="G45" s="829">
        <f>'Смета ВО_2016'!K91</f>
        <v>0</v>
      </c>
      <c r="H45" s="829">
        <f>'Смета ВО_2016'!N91</f>
        <v>0</v>
      </c>
      <c r="I45" s="92"/>
      <c r="J45" s="829">
        <f>'Смета ВО_2016'!L91</f>
        <v>0</v>
      </c>
      <c r="K45" s="829">
        <f>'Смета ВО_2016'!O91</f>
        <v>0</v>
      </c>
      <c r="L45" s="92"/>
    </row>
    <row r="46" spans="1:12" ht="51.75" thickBot="1">
      <c r="A46" s="330"/>
      <c r="B46" s="331" t="s">
        <v>140</v>
      </c>
      <c r="C46" s="332" t="s">
        <v>11</v>
      </c>
      <c r="D46" s="829">
        <f>'Смета ВО_2016'!J92</f>
        <v>28074.106579032141</v>
      </c>
      <c r="E46" s="829">
        <f>'Смета ВО_2016'!M92</f>
        <v>0</v>
      </c>
      <c r="F46" s="342"/>
      <c r="G46" s="829">
        <f>'Смета ВО_2016'!K92</f>
        <v>34821.168059287404</v>
      </c>
      <c r="H46" s="829">
        <f>'Смета ВО_2016'!N92</f>
        <v>0</v>
      </c>
      <c r="I46" s="342"/>
      <c r="J46" s="829">
        <f>'Смета ВО_2016'!L92</f>
        <v>32470.915842667106</v>
      </c>
      <c r="K46" s="829">
        <f>'Смета ВО_2016'!O92</f>
        <v>0</v>
      </c>
      <c r="L46" s="342"/>
    </row>
    <row r="47" spans="1:12" ht="27" thickTop="1" thickBot="1">
      <c r="A47" s="323"/>
      <c r="B47" s="335" t="s">
        <v>386</v>
      </c>
      <c r="C47" s="336" t="s">
        <v>11</v>
      </c>
      <c r="D47" s="831">
        <f>SUM(D48:D50)</f>
        <v>2971.36</v>
      </c>
      <c r="E47" s="832">
        <f>SUM(E48:E50)</f>
        <v>0</v>
      </c>
      <c r="F47" s="344"/>
      <c r="G47" s="831">
        <f>SUM(G48:G50)</f>
        <v>0</v>
      </c>
      <c r="H47" s="832">
        <f>SUM(H48:H50)</f>
        <v>0</v>
      </c>
      <c r="I47" s="344"/>
      <c r="J47" s="831">
        <f>SUM(J48:J50)</f>
        <v>0</v>
      </c>
      <c r="K47" s="832">
        <f>SUM(K48:K50)</f>
        <v>0</v>
      </c>
      <c r="L47" s="346"/>
    </row>
    <row r="48" spans="1:12" ht="77.25" thickTop="1">
      <c r="A48" s="25"/>
      <c r="B48" s="333" t="s">
        <v>378</v>
      </c>
      <c r="C48" s="334" t="s">
        <v>11</v>
      </c>
      <c r="D48" s="833">
        <f>'Смета ВО_2016'!J94</f>
        <v>0</v>
      </c>
      <c r="E48" s="833">
        <f>'Смета ВО_2016'!M94</f>
        <v>0</v>
      </c>
      <c r="F48" s="26"/>
      <c r="G48" s="829">
        <f>'Смета ВО_2016'!K94</f>
        <v>0</v>
      </c>
      <c r="H48" s="829">
        <f>'Смета ВО_2016'!N94</f>
        <v>0</v>
      </c>
      <c r="I48" s="26"/>
      <c r="J48" s="829">
        <f>'Смета ВО_2016'!L94</f>
        <v>0</v>
      </c>
      <c r="K48" s="829">
        <f>'Смета ВО_2016'!O94</f>
        <v>0</v>
      </c>
      <c r="L48" s="26"/>
    </row>
    <row r="49" spans="1:12" ht="25.5">
      <c r="A49" s="1"/>
      <c r="B49" s="224" t="s">
        <v>380</v>
      </c>
      <c r="C49" s="326" t="s">
        <v>11</v>
      </c>
      <c r="D49" s="833">
        <f>'Смета ВО_2016'!J95</f>
        <v>2971.36</v>
      </c>
      <c r="E49" s="833">
        <f>'Смета ВО_2016'!M95</f>
        <v>0</v>
      </c>
      <c r="F49" s="92"/>
      <c r="G49" s="829">
        <f>'Смета ВО_2016'!K95</f>
        <v>0</v>
      </c>
      <c r="H49" s="829">
        <f>'Смета ВО_2016'!N95</f>
        <v>0</v>
      </c>
      <c r="I49" s="92"/>
      <c r="J49" s="829">
        <f>'Смета ВО_2016'!L95</f>
        <v>0</v>
      </c>
      <c r="K49" s="829">
        <f>'Смета ВО_2016'!O95</f>
        <v>0</v>
      </c>
      <c r="L49" s="92"/>
    </row>
    <row r="50" spans="1:12" ht="63.75">
      <c r="A50" s="1"/>
      <c r="B50" s="224" t="s">
        <v>382</v>
      </c>
      <c r="C50" s="225" t="s">
        <v>11</v>
      </c>
      <c r="D50" s="833">
        <f>'Смета ВО_2016'!J96</f>
        <v>0</v>
      </c>
      <c r="E50" s="833">
        <f>'Смета ВО_2016'!M96</f>
        <v>0</v>
      </c>
      <c r="F50" s="92"/>
      <c r="G50" s="829">
        <f>'Смета ВО_2016'!K96</f>
        <v>0</v>
      </c>
      <c r="H50" s="829">
        <f>'Смета ВО_2016'!N96</f>
        <v>0</v>
      </c>
      <c r="I50" s="92"/>
      <c r="J50" s="829">
        <f>'Смета ВО_2016'!L96</f>
        <v>0</v>
      </c>
      <c r="K50" s="829">
        <f>'Смета ВО_2016'!O96</f>
        <v>0</v>
      </c>
      <c r="L50" s="92"/>
    </row>
    <row r="51" spans="1:12" ht="30">
      <c r="A51" s="1"/>
      <c r="B51" s="225" t="s">
        <v>507</v>
      </c>
      <c r="C51" s="225" t="s">
        <v>11</v>
      </c>
      <c r="D51" s="452">
        <f>D39+D40+D47</f>
        <v>543066.62022682128</v>
      </c>
      <c r="E51" s="452">
        <f t="shared" ref="E51:L51" si="0">E39+E40+E47</f>
        <v>455822.98138924537</v>
      </c>
      <c r="F51" s="319">
        <f t="shared" si="0"/>
        <v>0</v>
      </c>
      <c r="G51" s="452">
        <f t="shared" si="0"/>
        <v>328758.36116142944</v>
      </c>
      <c r="H51" s="452" t="e">
        <f t="shared" si="0"/>
        <v>#VALUE!</v>
      </c>
      <c r="I51" s="319">
        <f t="shared" si="0"/>
        <v>0</v>
      </c>
      <c r="J51" s="452">
        <f t="shared" si="0"/>
        <v>363941.21065076237</v>
      </c>
      <c r="K51" s="452">
        <f t="shared" si="0"/>
        <v>1956.7128205500003</v>
      </c>
      <c r="L51" s="319">
        <f t="shared" si="0"/>
        <v>0</v>
      </c>
    </row>
    <row r="52" spans="1:12" ht="30">
      <c r="A52" s="1"/>
      <c r="B52" s="62" t="s">
        <v>508</v>
      </c>
      <c r="C52" s="327" t="s">
        <v>143</v>
      </c>
      <c r="D52" s="452">
        <f>D51/(D5*1000)</f>
        <v>6.1147639341543501E-4</v>
      </c>
      <c r="E52" s="452">
        <f>E51/(E5*1000)</f>
        <v>9.3052252409176577E-3</v>
      </c>
      <c r="F52" s="92"/>
      <c r="G52" s="452" t="e">
        <f t="shared" ref="G52:H52" si="1">G51/(G5*1000)</f>
        <v>#DIV/0!</v>
      </c>
      <c r="H52" s="452" t="e">
        <f t="shared" si="1"/>
        <v>#VALUE!</v>
      </c>
      <c r="I52" s="92"/>
      <c r="J52" s="452" t="e">
        <f t="shared" ref="J52:K52" si="2">J51/(J5*1000)</f>
        <v>#DIV/0!</v>
      </c>
      <c r="K52" s="452" t="e">
        <f t="shared" si="2"/>
        <v>#DIV/0!</v>
      </c>
      <c r="L52" s="92"/>
    </row>
    <row r="53" spans="1:12">
      <c r="A53" s="1"/>
      <c r="B53" s="62"/>
      <c r="C53" s="63"/>
      <c r="D53" s="452"/>
      <c r="E53" s="452"/>
      <c r="F53" s="92"/>
      <c r="G53" s="439"/>
      <c r="H53" s="439"/>
      <c r="I53" s="92"/>
      <c r="J53" s="92"/>
      <c r="K53" s="92"/>
      <c r="L53" s="92"/>
    </row>
  </sheetData>
  <mergeCells count="9">
    <mergeCell ref="I3:I4"/>
    <mergeCell ref="J3:K3"/>
    <mergeCell ref="L3:L4"/>
    <mergeCell ref="A3:A4"/>
    <mergeCell ref="B3:B4"/>
    <mergeCell ref="C3:C4"/>
    <mergeCell ref="D3:E3"/>
    <mergeCell ref="F3:F4"/>
    <mergeCell ref="G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2:P36"/>
  <sheetViews>
    <sheetView topLeftCell="A18" zoomScale="90" zoomScaleNormal="90" workbookViewId="0">
      <selection activeCell="O36" sqref="O36:O37"/>
    </sheetView>
  </sheetViews>
  <sheetFormatPr defaultRowHeight="15"/>
  <cols>
    <col min="1" max="1" width="5.85546875" customWidth="1"/>
    <col min="2" max="2" width="28.7109375" customWidth="1"/>
    <col min="3" max="3" width="8.28515625" customWidth="1"/>
    <col min="4" max="5" width="12.85546875" customWidth="1"/>
    <col min="6" max="6" width="12.5703125" customWidth="1"/>
    <col min="7" max="7" width="12.85546875" customWidth="1"/>
    <col min="8" max="8" width="13.140625" customWidth="1"/>
    <col min="9" max="9" width="13.5703125" hidden="1" customWidth="1"/>
    <col min="10" max="10" width="13" customWidth="1"/>
    <col min="11" max="11" width="12.7109375" customWidth="1"/>
    <col min="12" max="12" width="14" customWidth="1"/>
    <col min="13" max="13" width="13.7109375" customWidth="1"/>
    <col min="14" max="14" width="12.42578125" customWidth="1"/>
    <col min="15" max="15" width="12.85546875" customWidth="1"/>
    <col min="16" max="16" width="19.7109375" customWidth="1"/>
  </cols>
  <sheetData>
    <row r="2" spans="1:16" ht="16.5" thickBot="1">
      <c r="A2" s="57" t="s">
        <v>1534</v>
      </c>
      <c r="B2" s="57"/>
      <c r="C2" s="3385" t="s">
        <v>1400</v>
      </c>
      <c r="D2" s="3385"/>
      <c r="E2" s="3385"/>
      <c r="F2" s="3385"/>
      <c r="G2" s="3385"/>
      <c r="H2" s="3386"/>
      <c r="I2" s="3386"/>
      <c r="J2" s="3385"/>
      <c r="K2" s="3385"/>
      <c r="L2" s="3385"/>
    </row>
    <row r="3" spans="1:16" ht="56.25" customHeight="1" thickBot="1">
      <c r="A3" s="3387" t="s">
        <v>0</v>
      </c>
      <c r="B3" s="3383" t="s">
        <v>1</v>
      </c>
      <c r="C3" s="3389" t="s">
        <v>2</v>
      </c>
      <c r="D3" s="3391" t="s">
        <v>1401</v>
      </c>
      <c r="E3" s="3392"/>
      <c r="F3" s="3382" t="s">
        <v>1402</v>
      </c>
      <c r="G3" s="3382"/>
      <c r="H3" s="2901" t="s">
        <v>1517</v>
      </c>
      <c r="I3" s="2902" t="s">
        <v>1518</v>
      </c>
      <c r="J3" s="3393" t="s">
        <v>1731</v>
      </c>
      <c r="K3" s="3393"/>
      <c r="L3" s="3392"/>
      <c r="M3" s="3382" t="s">
        <v>1460</v>
      </c>
      <c r="N3" s="3382"/>
      <c r="O3" s="3382"/>
      <c r="P3" s="3383" t="s">
        <v>1405</v>
      </c>
    </row>
    <row r="4" spans="1:16" ht="20.25" customHeight="1" thickBot="1">
      <c r="A4" s="3388"/>
      <c r="B4" s="3384"/>
      <c r="C4" s="3390"/>
      <c r="D4" s="2272" t="s">
        <v>5</v>
      </c>
      <c r="E4" s="2772" t="s">
        <v>6</v>
      </c>
      <c r="F4" s="2272" t="s">
        <v>5</v>
      </c>
      <c r="G4" s="2769" t="s">
        <v>798</v>
      </c>
      <c r="H4" s="2772" t="s">
        <v>6</v>
      </c>
      <c r="I4" s="2771" t="s">
        <v>798</v>
      </c>
      <c r="J4" s="2772">
        <v>2016</v>
      </c>
      <c r="K4" s="2272">
        <v>2017</v>
      </c>
      <c r="L4" s="2272">
        <v>2018</v>
      </c>
      <c r="M4" s="2272">
        <v>2016</v>
      </c>
      <c r="N4" s="2272">
        <v>2017</v>
      </c>
      <c r="O4" s="2272">
        <v>2018</v>
      </c>
      <c r="P4" s="3384"/>
    </row>
    <row r="5" spans="1:16" ht="15.75" thickBot="1">
      <c r="A5" s="2273">
        <v>1</v>
      </c>
      <c r="B5" s="2273" t="s">
        <v>1400</v>
      </c>
      <c r="C5" s="2273"/>
      <c r="D5" s="2274"/>
      <c r="E5" s="2274"/>
      <c r="F5" s="2274"/>
      <c r="G5" s="2274"/>
      <c r="H5" s="2274"/>
      <c r="I5" s="2274"/>
      <c r="J5" s="2274"/>
      <c r="K5" s="2274"/>
      <c r="L5" s="2274"/>
      <c r="M5" s="25"/>
      <c r="N5" s="25"/>
      <c r="O5" s="25"/>
      <c r="P5" s="25"/>
    </row>
    <row r="6" spans="1:16" ht="39.75" customHeight="1">
      <c r="A6" s="2904">
        <v>2</v>
      </c>
      <c r="B6" s="2905" t="s">
        <v>1406</v>
      </c>
      <c r="C6" s="2906" t="s">
        <v>383</v>
      </c>
      <c r="D6" s="2907"/>
      <c r="E6" s="2907"/>
      <c r="F6" s="2907"/>
      <c r="G6" s="2907"/>
      <c r="H6" s="2907"/>
      <c r="I6" s="2907"/>
      <c r="J6" s="2907"/>
      <c r="K6" s="2907"/>
      <c r="L6" s="2907"/>
      <c r="M6" s="433">
        <f>M7+M8+M9+M10+M11+M12</f>
        <v>24996.011074999999</v>
      </c>
      <c r="N6" s="433">
        <f t="shared" ref="N6:O6" si="0">N7+N8+N9+N10+N11+N12</f>
        <v>25988.449341249998</v>
      </c>
      <c r="O6" s="433">
        <f t="shared" si="0"/>
        <v>27056.692563687502</v>
      </c>
      <c r="P6" s="40"/>
    </row>
    <row r="7" spans="1:16">
      <c r="A7" s="2275" t="s">
        <v>52</v>
      </c>
      <c r="B7" s="75" t="s">
        <v>1407</v>
      </c>
      <c r="C7" s="1" t="s">
        <v>383</v>
      </c>
      <c r="D7" s="1129">
        <f>'[6]Смета ВС_2016'!D17</f>
        <v>3586.36</v>
      </c>
      <c r="E7" s="1129">
        <f>'[6]Смета ВС_2016'!E17</f>
        <v>5039.5480114000002</v>
      </c>
      <c r="F7" s="1129">
        <f>'[6]Смета ВС_2016'!F17</f>
        <v>2715.3230250000001</v>
      </c>
      <c r="G7" s="1129">
        <f>'[6]Смета ВС_2016'!G17</f>
        <v>4381.1189226000006</v>
      </c>
      <c r="H7" s="1129">
        <f>'расшифровки ВС_2016'!H177</f>
        <v>2627.95</v>
      </c>
      <c r="I7" s="1129">
        <f>'расшифровки ВС_2016'!I177</f>
        <v>4391.76</v>
      </c>
      <c r="J7" s="1129">
        <f>'расшифровки ВС_2016'!J177</f>
        <v>3579.2224999999999</v>
      </c>
      <c r="K7" s="1129">
        <f>'расшифровки ВС_2016'!K177</f>
        <v>3733.1290674999996</v>
      </c>
      <c r="L7" s="1129">
        <f>'расшифровки ВС_2016'!L177</f>
        <v>3893.6536174024991</v>
      </c>
      <c r="M7" s="1297">
        <f>'расшифровки ВС_2016'!M177</f>
        <v>3486.3068749999993</v>
      </c>
      <c r="N7" s="1297">
        <f>'расшифровки ВС_2016'!N177</f>
        <v>3590.89608125</v>
      </c>
      <c r="O7" s="1297">
        <f>'расшифровки ВС_2016'!O177</f>
        <v>3698.6229636875</v>
      </c>
      <c r="P7" s="1"/>
    </row>
    <row r="8" spans="1:16" ht="30">
      <c r="A8" s="2275" t="s">
        <v>54</v>
      </c>
      <c r="B8" s="2283" t="s">
        <v>1733</v>
      </c>
      <c r="C8" s="1" t="s">
        <v>383</v>
      </c>
      <c r="D8" s="1129">
        <f>'[6]Смета ВС_2016'!D19</f>
        <v>1091.46</v>
      </c>
      <c r="E8" s="1129">
        <f>'[6]Смета ВС_2016'!E19</f>
        <v>765.9913415499999</v>
      </c>
      <c r="F8" s="1129">
        <f>'[6]Смета ВС_2016'!F19</f>
        <v>987.50872519999996</v>
      </c>
      <c r="G8" s="1129">
        <f>'[6]Смета ВС_2016'!G19</f>
        <v>1459.1224141649998</v>
      </c>
      <c r="H8" s="1129">
        <f>'расшифровки ВС_2016'!H219</f>
        <v>626.36227999999994</v>
      </c>
      <c r="I8" s="1129">
        <f>'расшифровки ВС_2016'!I219</f>
        <v>1558.3150799999999</v>
      </c>
      <c r="J8" s="1129">
        <f>'расшифровки ВС_2016'!J219</f>
        <v>1865.5016386</v>
      </c>
      <c r="K8" s="1129">
        <f>'расшифровки ВС_2016'!K219</f>
        <v>1972.1421660517999</v>
      </c>
      <c r="L8" s="1129">
        <f>'расшифровки ВС_2016'!L219</f>
        <v>2085.4957272883826</v>
      </c>
      <c r="M8" s="1">
        <v>0</v>
      </c>
      <c r="N8" s="1">
        <v>0</v>
      </c>
      <c r="O8" s="1">
        <v>0</v>
      </c>
      <c r="P8" s="1" t="s">
        <v>1734</v>
      </c>
    </row>
    <row r="9" spans="1:16" ht="27.75" customHeight="1">
      <c r="A9" s="2275" t="s">
        <v>56</v>
      </c>
      <c r="B9" s="2283" t="s">
        <v>1408</v>
      </c>
      <c r="C9" s="1" t="s">
        <v>383</v>
      </c>
      <c r="D9" s="1135"/>
      <c r="E9" s="1135"/>
      <c r="F9" s="1135"/>
      <c r="G9" s="1135"/>
      <c r="H9" s="1135"/>
      <c r="I9" s="1135"/>
      <c r="J9" s="1135"/>
      <c r="K9" s="1135"/>
      <c r="L9" s="1135"/>
      <c r="M9" s="1"/>
      <c r="N9" s="1"/>
      <c r="O9" s="1"/>
      <c r="P9" s="1"/>
    </row>
    <row r="10" spans="1:16">
      <c r="A10" s="2275" t="s">
        <v>261</v>
      </c>
      <c r="B10" s="75" t="s">
        <v>1409</v>
      </c>
      <c r="C10" s="1" t="s">
        <v>383</v>
      </c>
      <c r="D10" s="1129">
        <f>'[6]Смета ВС_2016'!D20</f>
        <v>13685.8</v>
      </c>
      <c r="E10" s="1129">
        <f>'[6]Смета ВС_2016'!E20</f>
        <v>12194.269200000001</v>
      </c>
      <c r="F10" s="1129">
        <f>'[6]Смета ВС_2016'!F20</f>
        <v>13353.590700000001</v>
      </c>
      <c r="G10" s="1129">
        <f>'[6]Смета ВС_2016'!G20</f>
        <v>13105.715549999999</v>
      </c>
      <c r="H10" s="1129">
        <f>'расшифровки ВС_2016'!H240</f>
        <v>4804.2987400000002</v>
      </c>
      <c r="I10" s="1129">
        <f>'расшифровки ВС_2016'!I240</f>
        <v>13382.423875</v>
      </c>
      <c r="J10" s="1129">
        <f>'расшифровки ВС_2016'!J240</f>
        <v>13726.810052999997</v>
      </c>
      <c r="K10" s="1129">
        <f>'расшифровки ВС_2016'!K240</f>
        <v>14227.513651289395</v>
      </c>
      <c r="L10" s="1129">
        <f>'расшифровки ВС_2016'!L240</f>
        <v>14891.896871888763</v>
      </c>
      <c r="M10" s="416">
        <f>'расшифровки ВС_2016'!M240</f>
        <v>13989.0792</v>
      </c>
      <c r="N10" s="416">
        <f>'расшифровки ВС_2016'!N240</f>
        <v>14696.43326</v>
      </c>
      <c r="O10" s="416">
        <f>'расшифровки ВС_2016'!O240</f>
        <v>15476.454599999999</v>
      </c>
      <c r="P10" s="1"/>
    </row>
    <row r="11" spans="1:16" ht="32.25" customHeight="1">
      <c r="A11" s="2275" t="s">
        <v>262</v>
      </c>
      <c r="B11" s="2283" t="s">
        <v>1410</v>
      </c>
      <c r="C11" s="1" t="s">
        <v>383</v>
      </c>
      <c r="D11" s="1135"/>
      <c r="E11" s="1135"/>
      <c r="F11" s="1135"/>
      <c r="G11" s="1135"/>
      <c r="H11" s="1135"/>
      <c r="I11" s="1135"/>
      <c r="J11" s="1135"/>
      <c r="K11" s="1135"/>
      <c r="L11" s="1135"/>
      <c r="M11" s="1"/>
      <c r="N11" s="1"/>
      <c r="O11" s="1"/>
      <c r="P11" s="1"/>
    </row>
    <row r="12" spans="1:16" ht="27.75" customHeight="1">
      <c r="A12" s="2275" t="s">
        <v>292</v>
      </c>
      <c r="B12" s="2283" t="s">
        <v>1411</v>
      </c>
      <c r="C12" s="1" t="s">
        <v>383</v>
      </c>
      <c r="D12" s="1129">
        <f>'[6]Смета ВС_2016'!D21</f>
        <v>0</v>
      </c>
      <c r="E12" s="1129">
        <f>'[6]Смета ВС_2016'!E21</f>
        <v>0</v>
      </c>
      <c r="F12" s="1129">
        <f>'[6]Смета ВС_2016'!F21</f>
        <v>8426.7199999999993</v>
      </c>
      <c r="G12" s="1129">
        <f>'[6]Смета ВС_2016'!G21</f>
        <v>0</v>
      </c>
      <c r="H12" s="1129"/>
      <c r="I12" s="1129"/>
      <c r="J12" s="1129">
        <f>'[6]Смета ВС_2016'!H21</f>
        <v>-8426.7199999999993</v>
      </c>
      <c r="K12" s="1129">
        <f>'[6]Смета ВС_2016'!I21</f>
        <v>0</v>
      </c>
      <c r="L12" s="1129">
        <f>'[6]Смета ВС_2016'!J21</f>
        <v>0</v>
      </c>
      <c r="M12" s="416">
        <f>'расшифровки ВС_2016'!M262</f>
        <v>7520.625</v>
      </c>
      <c r="N12" s="416">
        <f>'расшифровки ВС_2016'!N262</f>
        <v>7701.12</v>
      </c>
      <c r="O12" s="416">
        <f>'расшифровки ВС_2016'!O262</f>
        <v>7881.6150000000007</v>
      </c>
      <c r="P12" s="1"/>
    </row>
    <row r="13" spans="1:16" hidden="1">
      <c r="A13" s="2275" t="s">
        <v>1412</v>
      </c>
      <c r="B13" s="75"/>
      <c r="C13" s="1" t="s">
        <v>383</v>
      </c>
      <c r="D13" s="1135"/>
      <c r="E13" s="1135"/>
      <c r="F13" s="1135"/>
      <c r="G13" s="1135"/>
      <c r="H13" s="1135"/>
      <c r="I13" s="1135"/>
      <c r="J13" s="1135"/>
      <c r="K13" s="1135"/>
      <c r="L13" s="1135"/>
      <c r="M13" s="1"/>
      <c r="N13" s="1"/>
      <c r="O13" s="1"/>
      <c r="P13" s="1"/>
    </row>
    <row r="14" spans="1:16" hidden="1">
      <c r="A14" s="2275" t="s">
        <v>1413</v>
      </c>
      <c r="B14" s="75"/>
      <c r="C14" s="1" t="s">
        <v>383</v>
      </c>
      <c r="D14" s="1135"/>
      <c r="E14" s="1135"/>
      <c r="F14" s="1135"/>
      <c r="G14" s="1135"/>
      <c r="H14" s="1135"/>
      <c r="I14" s="1135"/>
      <c r="J14" s="1135"/>
      <c r="K14" s="1135"/>
      <c r="L14" s="1135"/>
      <c r="M14" s="1"/>
      <c r="N14" s="1"/>
      <c r="O14" s="1"/>
      <c r="P14" s="1"/>
    </row>
    <row r="15" spans="1:16" hidden="1">
      <c r="A15" s="2275" t="s">
        <v>1414</v>
      </c>
      <c r="B15" s="75"/>
      <c r="C15" s="1" t="s">
        <v>383</v>
      </c>
      <c r="D15" s="1135"/>
      <c r="E15" s="1135"/>
      <c r="F15" s="1135"/>
      <c r="G15" s="1135"/>
      <c r="H15" s="1135"/>
      <c r="I15" s="1135"/>
      <c r="J15" s="1135"/>
      <c r="K15" s="1135"/>
      <c r="L15" s="1135"/>
      <c r="M15" s="1"/>
      <c r="N15" s="1"/>
      <c r="O15" s="1"/>
      <c r="P15" s="1"/>
    </row>
    <row r="16" spans="1:16" hidden="1">
      <c r="A16" s="2275" t="s">
        <v>1415</v>
      </c>
      <c r="B16" s="75"/>
      <c r="C16" s="1" t="s">
        <v>383</v>
      </c>
      <c r="D16" s="1135"/>
      <c r="E16" s="1135"/>
      <c r="F16" s="1135"/>
      <c r="G16" s="1135"/>
      <c r="H16" s="1135"/>
      <c r="I16" s="1135"/>
      <c r="J16" s="1135"/>
      <c r="K16" s="1135"/>
      <c r="L16" s="1135"/>
      <c r="M16" s="1"/>
      <c r="N16" s="1"/>
      <c r="O16" s="1"/>
      <c r="P16" s="1"/>
    </row>
    <row r="17" spans="1:16" hidden="1">
      <c r="A17" s="2275" t="s">
        <v>438</v>
      </c>
      <c r="B17" s="75"/>
      <c r="C17" s="1" t="s">
        <v>383</v>
      </c>
      <c r="D17" s="1135"/>
      <c r="E17" s="1135"/>
      <c r="F17" s="1135"/>
      <c r="G17" s="1135"/>
      <c r="H17" s="1135"/>
      <c r="I17" s="1135"/>
      <c r="J17" s="1135"/>
      <c r="K17" s="1135"/>
      <c r="L17" s="1135"/>
      <c r="M17" s="1"/>
      <c r="N17" s="1"/>
      <c r="O17" s="1"/>
      <c r="P17" s="1"/>
    </row>
    <row r="18" spans="1:16">
      <c r="A18" s="2904">
        <v>3</v>
      </c>
      <c r="B18" s="2908" t="s">
        <v>1171</v>
      </c>
      <c r="C18" s="40" t="s">
        <v>383</v>
      </c>
      <c r="D18" s="2904"/>
      <c r="E18" s="2904"/>
      <c r="F18" s="2904"/>
      <c r="G18" s="2904"/>
      <c r="H18" s="2904"/>
      <c r="I18" s="2904"/>
      <c r="J18" s="2904"/>
      <c r="K18" s="2904"/>
      <c r="L18" s="2904"/>
      <c r="M18" s="2890">
        <f>M19+M20+M21+M22+M23+M24</f>
        <v>28658.098009295998</v>
      </c>
      <c r="N18" s="2890">
        <f t="shared" ref="N18:O18" si="1">N19+N20+N21+N22+N23+N24</f>
        <v>28629.429069648959</v>
      </c>
      <c r="O18" s="2890">
        <f t="shared" si="1"/>
        <v>38153.085860345447</v>
      </c>
      <c r="P18" s="40"/>
    </row>
    <row r="19" spans="1:16">
      <c r="A19" s="2275" t="s">
        <v>64</v>
      </c>
      <c r="B19" s="75" t="s">
        <v>505</v>
      </c>
      <c r="C19" s="1" t="s">
        <v>383</v>
      </c>
      <c r="D19" s="1129">
        <f>'[6]Смета ВС_2016'!D82</f>
        <v>0</v>
      </c>
      <c r="E19" s="1129">
        <f>'[6]Смета ВС_2016'!E82</f>
        <v>4631.7</v>
      </c>
      <c r="F19" s="1129">
        <f>'[6]Смета ВС_2016'!F82</f>
        <v>4223.6000000000004</v>
      </c>
      <c r="G19" s="1129">
        <f>'[6]Смета ВС_2016'!G82</f>
        <v>4425.0439547719852</v>
      </c>
      <c r="H19" s="1129">
        <f>'Смета ВС_2016'!H87</f>
        <v>2183.8405399594867</v>
      </c>
      <c r="I19" s="1129">
        <f>'Смета ВС_2016'!I87</f>
        <v>4836.431438106817</v>
      </c>
      <c r="J19" s="1129">
        <f>'Смета ВС_2016'!J87</f>
        <v>5561.5981489082042</v>
      </c>
      <c r="K19" s="1129">
        <f>'Смета ВС_2016'!K87</f>
        <v>5842.0991487644578</v>
      </c>
      <c r="L19" s="1129">
        <f>'Смета ВС_2016'!L87</f>
        <v>6212.4383271659808</v>
      </c>
      <c r="M19" s="1">
        <f>'Расчёт ВС методом индексации'!O17*0.2</f>
        <v>2876.2000000000003</v>
      </c>
      <c r="N19" s="1">
        <f>'Расчёт ВС методом индексации'!P17*0.2</f>
        <v>819.6</v>
      </c>
      <c r="O19" s="1">
        <f>'Расчёт ВС методом индексации'!Q17*0.2</f>
        <v>5076.6000000000004</v>
      </c>
      <c r="P19" s="1"/>
    </row>
    <row r="20" spans="1:16" ht="30">
      <c r="A20" s="2275" t="s">
        <v>80</v>
      </c>
      <c r="B20" s="2283" t="s">
        <v>119</v>
      </c>
      <c r="C20" s="1" t="s">
        <v>383</v>
      </c>
      <c r="D20" s="1129">
        <f>'[6]Смета ВС_2016'!D69</f>
        <v>10000</v>
      </c>
      <c r="E20" s="1129">
        <f>'[6]Смета ВС_2016'!E69</f>
        <v>10393.487879999999</v>
      </c>
      <c r="F20" s="1129">
        <f>'[6]Смета ВС_2016'!F69</f>
        <v>12436</v>
      </c>
      <c r="G20" s="1129">
        <f>'[6]Смета ВС_2016'!G69</f>
        <v>10913.162274</v>
      </c>
      <c r="H20" s="1129">
        <f>'Смета ВС_2016'!H73</f>
        <v>6305.6802239999997</v>
      </c>
      <c r="I20" s="1129">
        <f>'Смета ВС_2016'!I73</f>
        <v>17441.691557999999</v>
      </c>
      <c r="J20" s="1129">
        <f>'Смета ВС_2016'!J73</f>
        <v>26832.239810624</v>
      </c>
      <c r="K20" s="1129">
        <f>'Смета ВС_2016'!K73</f>
        <v>21796.254630155203</v>
      </c>
      <c r="L20" s="1129">
        <f>'Смета ВС_2016'!L73</f>
        <v>44411.338733662968</v>
      </c>
      <c r="M20" s="416">
        <f>'расшифровки ВС_2016'!M430</f>
        <v>10913.162274</v>
      </c>
      <c r="N20" s="416">
        <f>'расшифровки ВС_2016'!N430</f>
        <v>11299.55</v>
      </c>
      <c r="O20" s="416">
        <f>'расшифровки ВС_2016'!O430</f>
        <v>13224.53</v>
      </c>
      <c r="P20" s="1"/>
    </row>
    <row r="21" spans="1:16" ht="30">
      <c r="A21" s="2275" t="s">
        <v>86</v>
      </c>
      <c r="B21" s="2283" t="s">
        <v>1416</v>
      </c>
      <c r="C21" s="1" t="s">
        <v>383</v>
      </c>
      <c r="D21" s="1129">
        <f>'[6]Смета ВС_2016'!D72</f>
        <v>2700</v>
      </c>
      <c r="E21" s="1129">
        <f>'[6]Смета ВС_2016'!E72</f>
        <v>5723.7197999999989</v>
      </c>
      <c r="F21" s="1129">
        <f>'[6]Смета ВС_2016'!F72</f>
        <v>702</v>
      </c>
      <c r="G21" s="1129">
        <f>'[6]Смета ВС_2016'!G72</f>
        <v>5723.7197999999989</v>
      </c>
      <c r="H21" s="1129">
        <f>'Смета ВС_2016'!H76</f>
        <v>4534.6550399999996</v>
      </c>
      <c r="I21" s="1129">
        <f>'Смета ВС_2016'!I76</f>
        <v>9069.3100799999993</v>
      </c>
      <c r="J21" s="1129">
        <f>'Смета ВС_2016'!J76</f>
        <v>9160.0031807999985</v>
      </c>
      <c r="K21" s="1129">
        <f>'Смета ВС_2016'!K76</f>
        <v>9251.603212607999</v>
      </c>
      <c r="L21" s="1129">
        <f>'Смета ВС_2016'!L76</f>
        <v>9344.11924473408</v>
      </c>
      <c r="M21" s="416">
        <f>'расшифровки ВС_2016'!M436</f>
        <v>5723.7197999999989</v>
      </c>
      <c r="N21" s="416">
        <f>'расшифровки ВС_2016'!N436</f>
        <v>6251.6</v>
      </c>
      <c r="O21" s="416">
        <f>'расшифровки ВС_2016'!O436</f>
        <v>8344.1200000000008</v>
      </c>
      <c r="P21" s="1"/>
    </row>
    <row r="22" spans="1:16">
      <c r="A22" s="2275" t="s">
        <v>88</v>
      </c>
      <c r="B22" s="75" t="s">
        <v>1173</v>
      </c>
      <c r="C22" s="1" t="s">
        <v>383</v>
      </c>
      <c r="D22" s="1129"/>
      <c r="E22" s="1129">
        <f>[6]налоги!C93</f>
        <v>1611.64</v>
      </c>
      <c r="F22" s="1129"/>
      <c r="G22" s="1129">
        <f>[6]налоги!D93</f>
        <v>1627.7564000000002</v>
      </c>
      <c r="H22" s="1129">
        <f>налоги!H99</f>
        <v>969.375</v>
      </c>
      <c r="I22" s="1129">
        <f>налоги!I99</f>
        <v>1938.75</v>
      </c>
      <c r="J22" s="1129">
        <f>налоги!J99</f>
        <v>1958.1375</v>
      </c>
      <c r="K22" s="1129">
        <f>налоги!K99</f>
        <v>1977.718875</v>
      </c>
      <c r="L22" s="1129">
        <f>налоги!L99</f>
        <v>1997.4960637500001</v>
      </c>
      <c r="M22" s="416">
        <f>'расшифровки ВС_2016'!M432</f>
        <v>1958.1375</v>
      </c>
      <c r="N22" s="416">
        <f>'расшифровки ВС_2016'!N432</f>
        <v>1977.718875</v>
      </c>
      <c r="O22" s="416">
        <f>'расшифровки ВС_2016'!O432</f>
        <v>1997.4960637500001</v>
      </c>
      <c r="P22" s="1"/>
    </row>
    <row r="23" spans="1:16" ht="30">
      <c r="A23" s="2275" t="s">
        <v>90</v>
      </c>
      <c r="B23" s="2283" t="s">
        <v>1417</v>
      </c>
      <c r="C23" s="1" t="s">
        <v>383</v>
      </c>
      <c r="D23" s="1129">
        <v>2300</v>
      </c>
      <c r="E23" s="1129">
        <f>[6]налоги!C94</f>
        <v>4801.6000000000004</v>
      </c>
      <c r="F23" s="1129">
        <v>4281.99</v>
      </c>
      <c r="G23" s="1129">
        <f>[6]налоги!D94</f>
        <v>5866.23</v>
      </c>
      <c r="H23" s="1129">
        <f>налоги!H100</f>
        <v>3218.69</v>
      </c>
      <c r="I23" s="1129">
        <f>налоги!I100</f>
        <v>6437.38</v>
      </c>
      <c r="J23" s="1129">
        <f>налоги!J100</f>
        <v>6733.4525000000003</v>
      </c>
      <c r="K23" s="1129">
        <f>налоги!K100</f>
        <v>7823</v>
      </c>
      <c r="L23" s="1129">
        <f>налоги!L100</f>
        <v>9047.7999999999993</v>
      </c>
      <c r="M23" s="416">
        <f>'расшифровки ВС_2016'!M433</f>
        <v>6733.4525000000003</v>
      </c>
      <c r="N23" s="416">
        <f>'расшифровки ВС_2016'!N433</f>
        <v>7823</v>
      </c>
      <c r="O23" s="416">
        <f>'расшифровки ВС_2016'!O433</f>
        <v>9047.7999999999993</v>
      </c>
      <c r="P23" s="1"/>
    </row>
    <row r="24" spans="1:16">
      <c r="A24" s="2275" t="s">
        <v>92</v>
      </c>
      <c r="B24" s="75" t="s">
        <v>127</v>
      </c>
      <c r="C24" s="1" t="s">
        <v>383</v>
      </c>
      <c r="D24" s="1129">
        <f>'[6]Смета ВС_2016'!D73</f>
        <v>282.39999999999998</v>
      </c>
      <c r="E24" s="1129">
        <f>'[6]Смета ВС_2016'!E73</f>
        <v>389.98999999999995</v>
      </c>
      <c r="F24" s="1129">
        <f>'[6]Смета ВС_2016'!F73</f>
        <v>309</v>
      </c>
      <c r="G24" s="1129">
        <f>'[6]Смета ВС_2016'!G73</f>
        <v>409.48950000000002</v>
      </c>
      <c r="H24" s="1129">
        <f>налоги!H104</f>
        <v>224.46828479999999</v>
      </c>
      <c r="I24" s="1129">
        <f>налоги!I104</f>
        <v>448.93656959999998</v>
      </c>
      <c r="J24" s="1129">
        <f>налоги!J104</f>
        <v>453.42593529599998</v>
      </c>
      <c r="K24" s="1129">
        <f>налоги!K104</f>
        <v>457.96019464896</v>
      </c>
      <c r="L24" s="1129">
        <f>налоги!L104</f>
        <v>462.53979659544956</v>
      </c>
      <c r="M24" s="1344">
        <f>'расшифровки ВС_2016'!M437</f>
        <v>453.42593529599998</v>
      </c>
      <c r="N24" s="1344">
        <f>'расшифровки ВС_2016'!N437</f>
        <v>457.96019464896</v>
      </c>
      <c r="O24" s="1344">
        <f>'расшифровки ВС_2016'!O437</f>
        <v>462.53979659544956</v>
      </c>
      <c r="P24" s="1"/>
    </row>
    <row r="25" spans="1:16" ht="26.25">
      <c r="A25" s="2275" t="s">
        <v>94</v>
      </c>
      <c r="B25" s="2903" t="s">
        <v>121</v>
      </c>
      <c r="C25" s="1" t="s">
        <v>383</v>
      </c>
      <c r="D25" s="1129">
        <f>'[6]Смета ВС_2016'!D70</f>
        <v>2100</v>
      </c>
      <c r="E25" s="1129">
        <f>'[6]Смета ВС_2016'!E70</f>
        <v>0</v>
      </c>
      <c r="F25" s="1129">
        <f>'[6]Смета ВС_2016'!F70</f>
        <v>0</v>
      </c>
      <c r="G25" s="1129">
        <f>'[6]Смета ВС_2016'!G70</f>
        <v>0</v>
      </c>
      <c r="H25" s="1129"/>
      <c r="I25" s="1129"/>
      <c r="J25" s="1129">
        <f>'[6]Смета ВС_2016'!H70</f>
        <v>0</v>
      </c>
      <c r="K25" s="1129">
        <f>'[6]Смета ВС_2016'!I70</f>
        <v>0</v>
      </c>
      <c r="L25" s="1129">
        <f>'[6]Смета ВС_2016'!J70</f>
        <v>0</v>
      </c>
      <c r="M25" s="1"/>
      <c r="N25" s="1"/>
      <c r="O25" s="1"/>
      <c r="P25" s="1"/>
    </row>
    <row r="26" spans="1:16" hidden="1">
      <c r="A26" s="2275" t="s">
        <v>1418</v>
      </c>
      <c r="B26" s="75" t="s">
        <v>1419</v>
      </c>
      <c r="C26" s="1" t="s">
        <v>383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"/>
      <c r="N26" s="1"/>
      <c r="O26" s="1"/>
      <c r="P26" s="1"/>
    </row>
    <row r="27" spans="1:16" ht="30" hidden="1">
      <c r="A27" s="1135">
        <v>4</v>
      </c>
      <c r="B27" s="2283" t="s">
        <v>1420</v>
      </c>
      <c r="C27" s="1" t="s">
        <v>383</v>
      </c>
      <c r="D27" s="1129"/>
      <c r="E27" s="1129"/>
      <c r="F27" s="1129"/>
      <c r="G27" s="1129"/>
      <c r="H27" s="1129"/>
      <c r="I27" s="1129"/>
      <c r="J27" s="1129"/>
      <c r="K27" s="1129"/>
      <c r="L27" s="1129"/>
      <c r="M27" s="1"/>
      <c r="N27" s="1"/>
      <c r="O27" s="1"/>
      <c r="P27" s="1"/>
    </row>
    <row r="28" spans="1:16" ht="42" customHeight="1">
      <c r="A28" s="2904">
        <v>5</v>
      </c>
      <c r="B28" s="2905" t="s">
        <v>1421</v>
      </c>
      <c r="C28" s="40" t="s">
        <v>383</v>
      </c>
      <c r="D28" s="2907"/>
      <c r="E28" s="2907"/>
      <c r="F28" s="2907"/>
      <c r="G28" s="2907"/>
      <c r="H28" s="2907"/>
      <c r="I28" s="2907"/>
      <c r="J28" s="2907"/>
      <c r="K28" s="2907"/>
      <c r="L28" s="2907"/>
      <c r="M28" s="433">
        <f>M29</f>
        <v>7824.9219999999996</v>
      </c>
      <c r="N28" s="433">
        <f t="shared" ref="N28:O28" si="2">N29</f>
        <v>8177</v>
      </c>
      <c r="O28" s="433">
        <f t="shared" si="2"/>
        <v>8544.9650000000001</v>
      </c>
      <c r="P28" s="40"/>
    </row>
    <row r="29" spans="1:16" ht="30">
      <c r="A29" s="2275" t="s">
        <v>105</v>
      </c>
      <c r="B29" s="2283" t="s">
        <v>1454</v>
      </c>
      <c r="C29" s="1" t="s">
        <v>383</v>
      </c>
      <c r="D29" s="1129">
        <f>'[6]Смета ВС_2016'!D59</f>
        <v>0</v>
      </c>
      <c r="E29" s="1129">
        <f>'[6]Смета ВС_2016'!E59</f>
        <v>7824.9219999999996</v>
      </c>
      <c r="F29" s="1129">
        <f>'[6]Смета ВС_2016'!F59</f>
        <v>7440.5519999999997</v>
      </c>
      <c r="G29" s="1129">
        <f>'[6]Смета ВС_2016'!G59</f>
        <v>8177.0434899999991</v>
      </c>
      <c r="H29" s="1129">
        <f>'Смета ВС_2016'!H63</f>
        <v>4088.5217449999996</v>
      </c>
      <c r="I29" s="1129">
        <f>'Смета ВС_2016'!I63</f>
        <v>8177.0434899999991</v>
      </c>
      <c r="J29" s="1129">
        <f>'Смета ВС_2016'!J63</f>
        <v>8528.6563600699992</v>
      </c>
      <c r="K29" s="1129">
        <f>'Смета ВС_2016'!K63</f>
        <v>8895.3885835530091</v>
      </c>
      <c r="L29" s="1129">
        <f>'Смета ВС_2016'!L63</f>
        <v>8895.3885835530091</v>
      </c>
      <c r="M29" s="416">
        <f>'расшифровки ВС_2016'!M468</f>
        <v>7824.9219999999996</v>
      </c>
      <c r="N29" s="416">
        <f>'расшифровки ВС_2016'!N468</f>
        <v>8177</v>
      </c>
      <c r="O29" s="416">
        <f>'расшифровки ВС_2016'!O468</f>
        <v>8544.9650000000001</v>
      </c>
      <c r="P29" s="1"/>
    </row>
    <row r="30" spans="1:16">
      <c r="A30" s="1135">
        <v>6</v>
      </c>
      <c r="B30" s="1135" t="s">
        <v>1422</v>
      </c>
      <c r="C30" s="1" t="s">
        <v>383</v>
      </c>
      <c r="D30" s="1129"/>
      <c r="E30" s="1129"/>
      <c r="F30" s="1129"/>
      <c r="G30" s="1129"/>
      <c r="H30" s="1129"/>
      <c r="I30" s="1129"/>
      <c r="J30" s="1129"/>
      <c r="K30" s="1129"/>
      <c r="L30" s="1129"/>
      <c r="M30" s="1"/>
      <c r="N30" s="1"/>
      <c r="O30" s="1"/>
      <c r="P30" s="1"/>
    </row>
    <row r="31" spans="1:16" ht="24.75" hidden="1">
      <c r="A31" s="1135">
        <v>7</v>
      </c>
      <c r="B31" s="1342" t="s">
        <v>1423</v>
      </c>
      <c r="C31" s="1" t="s">
        <v>383</v>
      </c>
      <c r="D31" s="1129"/>
      <c r="E31" s="1129"/>
      <c r="F31" s="1129"/>
      <c r="G31" s="1129"/>
      <c r="H31" s="1129"/>
      <c r="I31" s="1129"/>
      <c r="J31" s="1129"/>
      <c r="K31" s="1129"/>
      <c r="L31" s="1129"/>
      <c r="M31" s="1"/>
      <c r="N31" s="1"/>
      <c r="O31" s="1"/>
      <c r="P31" s="1"/>
    </row>
    <row r="32" spans="1:16" ht="23.25" hidden="1">
      <c r="A32" s="1135">
        <v>8</v>
      </c>
      <c r="B32" s="2437" t="s">
        <v>1424</v>
      </c>
      <c r="C32" s="1" t="s">
        <v>383</v>
      </c>
      <c r="D32" s="1129"/>
      <c r="E32" s="1129"/>
      <c r="F32" s="1129"/>
      <c r="G32" s="1129"/>
      <c r="H32" s="1129"/>
      <c r="I32" s="1129"/>
      <c r="J32" s="1129"/>
      <c r="K32" s="1129"/>
      <c r="L32" s="1129"/>
      <c r="M32" s="1"/>
      <c r="N32" s="1"/>
      <c r="O32" s="1"/>
      <c r="P32" s="1"/>
    </row>
    <row r="33" spans="1:16" ht="26.25">
      <c r="A33" s="2904">
        <v>9</v>
      </c>
      <c r="B33" s="2909" t="s">
        <v>1425</v>
      </c>
      <c r="C33" s="40" t="s">
        <v>383</v>
      </c>
      <c r="D33" s="2907"/>
      <c r="E33" s="2907"/>
      <c r="F33" s="2907"/>
      <c r="G33" s="2907"/>
      <c r="H33" s="2907"/>
      <c r="I33" s="2907"/>
      <c r="J33" s="2907"/>
      <c r="K33" s="2907"/>
      <c r="L33" s="2907"/>
      <c r="M33" s="433">
        <f>M35</f>
        <v>22829.93735</v>
      </c>
      <c r="N33" s="433">
        <f t="shared" ref="N33:O33" si="3">N35</f>
        <v>12784.6847375</v>
      </c>
      <c r="O33" s="433">
        <f t="shared" si="3"/>
        <v>5542.3423687499999</v>
      </c>
      <c r="P33" s="40"/>
    </row>
    <row r="34" spans="1:16">
      <c r="A34" s="2275" t="s">
        <v>377</v>
      </c>
      <c r="B34" s="1135" t="s">
        <v>1426</v>
      </c>
      <c r="C34" s="1" t="s">
        <v>383</v>
      </c>
      <c r="D34" s="1129"/>
      <c r="E34" s="1129"/>
      <c r="F34" s="1129"/>
      <c r="G34" s="1129"/>
      <c r="H34" s="1129"/>
      <c r="I34" s="1129"/>
      <c r="J34" s="1129"/>
      <c r="K34" s="1129"/>
      <c r="L34" s="1129"/>
      <c r="M34" s="1"/>
      <c r="N34" s="1"/>
      <c r="O34" s="1"/>
      <c r="P34" s="1"/>
    </row>
    <row r="35" spans="1:16" ht="30">
      <c r="A35" s="2276" t="s">
        <v>379</v>
      </c>
      <c r="B35" s="2283" t="s">
        <v>1427</v>
      </c>
      <c r="C35" s="1" t="s">
        <v>383</v>
      </c>
      <c r="D35" s="1129">
        <f>'[6]Смета ВС_2016'!D25</f>
        <v>7134.3047967231996</v>
      </c>
      <c r="E35" s="1129">
        <f>'[6]Смета ВС_2016'!E25</f>
        <v>6593.4003141701987</v>
      </c>
      <c r="F35" s="1129">
        <f>'[6]Смета ВС_2016'!F25</f>
        <v>15270.548474879999</v>
      </c>
      <c r="G35" s="1129">
        <f>'[6]Смета ВС_2016'!G25</f>
        <v>18865.194651292681</v>
      </c>
      <c r="H35" s="1129">
        <f>'Смета ВС_2016'!H25</f>
        <v>7796.6153129269987</v>
      </c>
      <c r="I35" s="1129">
        <f>'Смета ВС_2016'!I25</f>
        <v>14224.503886774455</v>
      </c>
      <c r="J35" s="1129">
        <f>'Смета ВС_2016'!J25</f>
        <v>24529.93735</v>
      </c>
      <c r="K35" s="1129">
        <f>'Смета ВС_2016'!K25</f>
        <v>11084.6847375</v>
      </c>
      <c r="L35" s="1129">
        <f>'Смета ВС_2016'!L25</f>
        <v>5542.3423687499999</v>
      </c>
      <c r="M35" s="427">
        <f>'расшифровки ВС_2016'!M277</f>
        <v>22829.93735</v>
      </c>
      <c r="N35" s="427">
        <f>'расшифровки ВС_2016'!N277</f>
        <v>12784.6847375</v>
      </c>
      <c r="O35" s="427">
        <f>'расшифровки ВС_2016'!O277</f>
        <v>5542.3423687499999</v>
      </c>
      <c r="P35" s="27"/>
    </row>
    <row r="36" spans="1:16">
      <c r="A36" s="2277"/>
      <c r="B36" s="2277" t="s">
        <v>1428</v>
      </c>
      <c r="C36" s="2277"/>
      <c r="D36" s="2278">
        <f>SUM(D6:D35)</f>
        <v>42880.324796723195</v>
      </c>
      <c r="E36" s="2278">
        <f t="shared" ref="E36:L36" si="4">SUM(E6:E35)</f>
        <v>59970.268547120191</v>
      </c>
      <c r="F36" s="2278">
        <f t="shared" si="4"/>
        <v>70146.832925079987</v>
      </c>
      <c r="G36" s="2278">
        <f t="shared" si="4"/>
        <v>74953.596956829657</v>
      </c>
      <c r="H36" s="2278">
        <f t="shared" si="4"/>
        <v>37380.457166686479</v>
      </c>
      <c r="I36" s="2278">
        <f t="shared" si="4"/>
        <v>81906.545977481277</v>
      </c>
      <c r="J36" s="2278">
        <f t="shared" si="4"/>
        <v>94502.264977298182</v>
      </c>
      <c r="K36" s="2278">
        <f t="shared" si="4"/>
        <v>87061.494267070811</v>
      </c>
      <c r="L36" s="2278">
        <f t="shared" si="4"/>
        <v>106784.50933479113</v>
      </c>
      <c r="M36" s="2304">
        <f>M6+M18+M28+M33</f>
        <v>84308.968434295995</v>
      </c>
      <c r="N36" s="2304">
        <f t="shared" ref="N36:O36" si="5">N6+N18+N28+N33</f>
        <v>75579.563148398956</v>
      </c>
      <c r="O36" s="2304">
        <f t="shared" si="5"/>
        <v>79297.085792782949</v>
      </c>
      <c r="P36" s="62"/>
    </row>
  </sheetData>
  <mergeCells count="9">
    <mergeCell ref="M3:O3"/>
    <mergeCell ref="P3:P4"/>
    <mergeCell ref="C2:L2"/>
    <mergeCell ref="A3:A4"/>
    <mergeCell ref="B3:B4"/>
    <mergeCell ref="C3:C4"/>
    <mergeCell ref="D3:E3"/>
    <mergeCell ref="F3:G3"/>
    <mergeCell ref="J3:L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0" workbookViewId="0">
      <selection activeCell="I6" sqref="I6"/>
    </sheetView>
  </sheetViews>
  <sheetFormatPr defaultRowHeight="15"/>
  <cols>
    <col min="1" max="1" width="32.7109375" customWidth="1"/>
    <col min="2" max="3" width="15.7109375" customWidth="1"/>
    <col min="4" max="4" width="12.28515625" customWidth="1"/>
    <col min="5" max="5" width="12.140625" bestFit="1" customWidth="1"/>
    <col min="6" max="6" width="13.42578125" customWidth="1"/>
  </cols>
  <sheetData>
    <row r="1" spans="1:6" ht="15" customHeight="1">
      <c r="A1" s="3574" t="s">
        <v>1547</v>
      </c>
      <c r="B1" s="3574"/>
      <c r="C1" s="3574"/>
      <c r="D1" s="3574"/>
      <c r="E1" s="3574"/>
      <c r="F1" s="3574"/>
    </row>
    <row r="2" spans="1:6">
      <c r="A2" s="3574"/>
      <c r="B2" s="3574"/>
      <c r="C2" s="3574"/>
      <c r="D2" s="3574"/>
      <c r="E2" s="3574"/>
      <c r="F2" s="3574"/>
    </row>
    <row r="3" spans="1:6">
      <c r="A3" s="3575"/>
      <c r="B3" s="3575"/>
      <c r="C3" s="3575"/>
      <c r="D3" s="3575"/>
      <c r="E3" s="3575"/>
      <c r="F3" s="3575"/>
    </row>
    <row r="4" spans="1:6" ht="29.25">
      <c r="A4" s="1206" t="s">
        <v>1322</v>
      </c>
      <c r="B4" s="1804" t="s">
        <v>1323</v>
      </c>
      <c r="C4" s="1804" t="s">
        <v>1541</v>
      </c>
      <c r="D4" s="1782">
        <v>2016</v>
      </c>
      <c r="E4" s="1782">
        <v>2017</v>
      </c>
      <c r="F4" s="1782">
        <v>2018</v>
      </c>
    </row>
    <row r="5" spans="1:6">
      <c r="A5" s="1205"/>
      <c r="B5" s="1782"/>
      <c r="C5" s="1782"/>
      <c r="D5" s="1782"/>
      <c r="E5" s="1782"/>
      <c r="F5" s="1782"/>
    </row>
    <row r="6" spans="1:6">
      <c r="A6" s="1205" t="s">
        <v>1324</v>
      </c>
      <c r="B6" s="1208">
        <f>17766139/1000*1.1</f>
        <v>19542.752899999999</v>
      </c>
      <c r="C6" s="1208"/>
      <c r="D6" s="1208"/>
      <c r="E6" s="1208"/>
      <c r="F6" s="1208"/>
    </row>
    <row r="7" spans="1:6">
      <c r="A7" s="1205" t="s">
        <v>21</v>
      </c>
      <c r="B7" s="1208">
        <f>109204200/1000*1.1</f>
        <v>120124.62000000001</v>
      </c>
      <c r="C7" s="1208"/>
      <c r="D7" s="1208"/>
      <c r="E7" s="1208"/>
      <c r="F7" s="1208"/>
    </row>
    <row r="8" spans="1:6">
      <c r="A8" s="1205" t="s">
        <v>1325</v>
      </c>
      <c r="B8" s="1208">
        <f>12559452/1000*1.06</f>
        <v>13313.019120000001</v>
      </c>
      <c r="C8" s="1208"/>
      <c r="D8" s="1208"/>
      <c r="E8" s="1208"/>
      <c r="F8" s="1208"/>
    </row>
    <row r="9" spans="1:6">
      <c r="A9" s="1205" t="s">
        <v>1326</v>
      </c>
      <c r="B9" s="1208">
        <f>B8*30.2/100</f>
        <v>4020.5317742399998</v>
      </c>
      <c r="C9" s="1208"/>
      <c r="D9" s="1208"/>
      <c r="E9" s="1208"/>
      <c r="F9" s="1208"/>
    </row>
    <row r="10" spans="1:6" ht="29.25" customHeight="1">
      <c r="A10" s="2454" t="s">
        <v>1542</v>
      </c>
      <c r="B10" s="2453">
        <f>SUM(B6:B9)</f>
        <v>157000.92379424002</v>
      </c>
      <c r="C10" s="2453"/>
      <c r="D10" s="2453">
        <f>B10/4</f>
        <v>39250.230948560005</v>
      </c>
      <c r="E10" s="2453">
        <f>B10</f>
        <v>157000.92379424002</v>
      </c>
      <c r="F10" s="2453">
        <f>E10*1.043</f>
        <v>163751.96351739235</v>
      </c>
    </row>
    <row r="11" spans="1:6">
      <c r="A11" s="1205" t="s">
        <v>1327</v>
      </c>
      <c r="B11" s="1208">
        <f>45222043/1000</f>
        <v>45222.042999999998</v>
      </c>
      <c r="C11" s="1208"/>
      <c r="D11" s="1208"/>
      <c r="E11" s="1208"/>
      <c r="F11" s="1208"/>
    </row>
    <row r="12" spans="1:6">
      <c r="A12" s="1205"/>
      <c r="B12" s="1208"/>
      <c r="C12" s="1208"/>
      <c r="D12" s="1208"/>
      <c r="E12" s="1208"/>
      <c r="F12" s="1208"/>
    </row>
    <row r="13" spans="1:6">
      <c r="A13" s="1805" t="s">
        <v>1328</v>
      </c>
      <c r="B13" s="1806">
        <f>B10+B11</f>
        <v>202222.96679424003</v>
      </c>
      <c r="C13" s="1806">
        <f t="shared" ref="C13:E13" si="0">C10+C11</f>
        <v>0</v>
      </c>
      <c r="D13" s="1806">
        <v>39520</v>
      </c>
      <c r="E13" s="1806">
        <f t="shared" si="0"/>
        <v>157000.92379424002</v>
      </c>
      <c r="F13" s="1806">
        <f>F10+F11</f>
        <v>163751.96351739235</v>
      </c>
    </row>
    <row r="14" spans="1:6" ht="30">
      <c r="A14" s="1250" t="s">
        <v>1331</v>
      </c>
      <c r="B14" s="1208">
        <v>108186.70600000001</v>
      </c>
      <c r="C14" s="1208"/>
      <c r="D14" s="1208"/>
      <c r="E14" s="1208"/>
      <c r="F14" s="1208"/>
    </row>
    <row r="15" spans="1:6">
      <c r="A15" s="1206" t="s">
        <v>1329</v>
      </c>
      <c r="B15" s="1209">
        <f>B13+B14</f>
        <v>310409.67279424006</v>
      </c>
      <c r="C15" s="1209"/>
      <c r="D15" s="1209"/>
      <c r="E15" s="1209"/>
      <c r="F15" s="1209"/>
    </row>
    <row r="16" spans="1:6">
      <c r="A16" s="1204"/>
      <c r="B16" s="1204"/>
      <c r="C16" s="1204"/>
      <c r="D16" s="1204"/>
      <c r="E16" s="1204"/>
    </row>
    <row r="17" spans="1:6" ht="24.75" customHeight="1">
      <c r="A17" s="3576" t="s">
        <v>1548</v>
      </c>
      <c r="B17" s="3576"/>
      <c r="C17" s="3576"/>
      <c r="D17" s="3576"/>
      <c r="E17" s="3576"/>
      <c r="F17" s="3576"/>
    </row>
    <row r="18" spans="1:6" ht="29.25">
      <c r="A18" s="2455"/>
      <c r="B18" s="1782" t="s">
        <v>1546</v>
      </c>
      <c r="C18" s="1804" t="s">
        <v>1541</v>
      </c>
      <c r="D18" s="1782">
        <v>2016</v>
      </c>
      <c r="E18" s="1782">
        <v>2017</v>
      </c>
      <c r="F18" s="1782">
        <v>2018</v>
      </c>
    </row>
    <row r="19" spans="1:6">
      <c r="A19" s="1205" t="s">
        <v>1543</v>
      </c>
      <c r="B19" s="1208">
        <v>274534.96999999997</v>
      </c>
      <c r="C19" s="1205"/>
      <c r="D19" s="1205"/>
      <c r="E19" s="1205"/>
      <c r="F19" s="1"/>
    </row>
    <row r="20" spans="1:6" ht="45">
      <c r="A20" s="1250" t="s">
        <v>1544</v>
      </c>
      <c r="B20" s="1208">
        <v>74990.509999999995</v>
      </c>
      <c r="C20" s="1205"/>
      <c r="D20" s="1205"/>
      <c r="E20" s="1205"/>
      <c r="F20" s="1"/>
    </row>
    <row r="21" spans="1:6">
      <c r="A21" s="1206" t="s">
        <v>1545</v>
      </c>
      <c r="B21" s="1209">
        <f>B19-B20</f>
        <v>199544.45999999996</v>
      </c>
      <c r="C21" s="1209">
        <v>50000</v>
      </c>
      <c r="D21" s="1209">
        <f>B21-C21</f>
        <v>149544.45999999996</v>
      </c>
      <c r="E21" s="1206"/>
      <c r="F21" s="62"/>
    </row>
    <row r="22" spans="1:6">
      <c r="A22" s="1204"/>
      <c r="B22" s="1204"/>
      <c r="C22" s="1204"/>
      <c r="D22" s="1204"/>
      <c r="E22" s="1204"/>
    </row>
    <row r="23" spans="1:6">
      <c r="A23" s="1204"/>
      <c r="B23" s="1204"/>
      <c r="C23" s="1204"/>
      <c r="D23" s="1204"/>
      <c r="E23" s="1204"/>
    </row>
    <row r="24" spans="1:6">
      <c r="A24" s="1204"/>
      <c r="B24" s="1204"/>
      <c r="C24" s="1204"/>
      <c r="D24" s="1204"/>
      <c r="E24" s="1204"/>
    </row>
    <row r="30" spans="1:6">
      <c r="A30" s="1204" t="s">
        <v>754</v>
      </c>
    </row>
  </sheetData>
  <mergeCells count="2">
    <mergeCell ref="A1:F3"/>
    <mergeCell ref="A17:F17"/>
  </mergeCells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workbookViewId="0">
      <selection activeCell="A20" sqref="A20"/>
    </sheetView>
  </sheetViews>
  <sheetFormatPr defaultRowHeight="15"/>
  <cols>
    <col min="1" max="1" width="35" customWidth="1"/>
    <col min="2" max="2" width="15.140625" customWidth="1"/>
    <col min="3" max="3" width="15.5703125" customWidth="1"/>
  </cols>
  <sheetData>
    <row r="2" spans="1:9" ht="15.75">
      <c r="A2" s="2366" t="s">
        <v>1493</v>
      </c>
      <c r="B2" s="2366"/>
      <c r="C2" s="2366"/>
      <c r="D2" s="2366"/>
      <c r="E2" s="2366"/>
      <c r="F2" s="2366"/>
      <c r="G2" s="1204"/>
      <c r="H2" s="1204"/>
      <c r="I2" s="1204"/>
    </row>
    <row r="3" spans="1:9">
      <c r="A3" s="1204"/>
      <c r="B3" s="1204"/>
      <c r="C3" s="2367" t="s">
        <v>32</v>
      </c>
      <c r="D3" s="1204"/>
      <c r="E3" s="1204"/>
      <c r="F3" s="1204"/>
      <c r="G3" s="1204"/>
      <c r="H3" s="1204"/>
      <c r="I3" s="1204"/>
    </row>
    <row r="4" spans="1:9" ht="66" customHeight="1">
      <c r="A4" s="1"/>
      <c r="B4" s="1250" t="s">
        <v>1495</v>
      </c>
      <c r="C4" s="1250" t="s">
        <v>1205</v>
      </c>
      <c r="D4" s="1204"/>
      <c r="E4" s="1204"/>
      <c r="F4" s="1204"/>
      <c r="G4" s="1204"/>
    </row>
    <row r="5" spans="1:9">
      <c r="A5" s="2368" t="s">
        <v>1494</v>
      </c>
      <c r="B5" s="2369">
        <f>B6+B7+B8</f>
        <v>27777.600000000002</v>
      </c>
      <c r="C5" s="2368"/>
      <c r="D5" s="1204"/>
      <c r="E5" s="1204"/>
      <c r="F5" s="1204"/>
      <c r="G5" s="1204"/>
    </row>
    <row r="6" spans="1:9">
      <c r="A6" s="1205" t="s">
        <v>1496</v>
      </c>
      <c r="B6" s="1208">
        <v>6771.6</v>
      </c>
      <c r="C6" s="1208"/>
      <c r="D6" s="1204"/>
      <c r="E6" s="1204"/>
      <c r="F6" s="1204"/>
      <c r="G6" s="1204"/>
    </row>
    <row r="7" spans="1:9">
      <c r="A7" s="1205" t="s">
        <v>1497</v>
      </c>
      <c r="B7" s="1208">
        <v>20870.740000000002</v>
      </c>
      <c r="C7" s="1208"/>
      <c r="D7" s="1204"/>
      <c r="E7" s="1204"/>
      <c r="F7" s="1204"/>
      <c r="G7" s="1204"/>
    </row>
    <row r="8" spans="1:9">
      <c r="A8" s="1205" t="s">
        <v>1498</v>
      </c>
      <c r="B8" s="1208">
        <v>135.26</v>
      </c>
      <c r="C8" s="1208"/>
      <c r="D8" s="1204"/>
      <c r="E8" s="1204"/>
      <c r="F8" s="1204"/>
      <c r="G8" s="1204"/>
    </row>
    <row r="9" spans="1:9">
      <c r="A9" s="1205" t="s">
        <v>1499</v>
      </c>
      <c r="B9" s="1208"/>
      <c r="C9" s="1208"/>
      <c r="D9" s="1204"/>
      <c r="E9" s="1204"/>
      <c r="F9" s="1204"/>
      <c r="G9" s="1204"/>
    </row>
    <row r="10" spans="1:9">
      <c r="A10" s="1205" t="s">
        <v>1021</v>
      </c>
      <c r="B10" s="1208">
        <f>B6*0.96*0.59+B7*0.96*0.59+B8*0.96*0.59</f>
        <v>15733.232639999998</v>
      </c>
      <c r="C10" s="1208"/>
      <c r="D10" s="1204"/>
      <c r="E10" s="1204"/>
      <c r="F10" s="1204"/>
      <c r="G10" s="1204"/>
    </row>
    <row r="11" spans="1:9">
      <c r="A11" s="1205" t="s">
        <v>1030</v>
      </c>
      <c r="B11" s="1208">
        <f>B6*0.96*0.41+B7*0.96*0.41+B8*0.96*0.41</f>
        <v>10933.263360000001</v>
      </c>
      <c r="C11" s="1208"/>
      <c r="D11" s="1204"/>
      <c r="E11" s="1204"/>
      <c r="F11" s="1204"/>
      <c r="G11" s="1204"/>
    </row>
    <row r="12" spans="1:9">
      <c r="A12" s="1205" t="s">
        <v>1500</v>
      </c>
      <c r="B12" s="1208">
        <f>B5-B10-B11</f>
        <v>1111.104000000003</v>
      </c>
      <c r="C12" s="1205"/>
      <c r="D12" s="1204"/>
      <c r="E12" s="1204"/>
      <c r="F12" s="1204"/>
      <c r="G12" s="1204"/>
    </row>
    <row r="13" spans="1:9">
      <c r="A13" s="2368" t="s">
        <v>1501</v>
      </c>
      <c r="B13" s="2369">
        <f>B14+B15+B16+B17+B18</f>
        <v>7887.7939999999999</v>
      </c>
      <c r="C13" s="2368"/>
      <c r="D13" s="1204"/>
      <c r="E13" s="1204"/>
      <c r="F13" s="1204"/>
      <c r="G13" s="1204"/>
    </row>
    <row r="14" spans="1:9">
      <c r="A14" s="1205" t="s">
        <v>1496</v>
      </c>
      <c r="B14" s="1208">
        <f>4335.86</f>
        <v>4335.8599999999997</v>
      </c>
      <c r="C14" s="1208"/>
      <c r="D14" s="1204"/>
      <c r="E14" s="1204"/>
      <c r="F14" s="1204"/>
      <c r="G14" s="1204"/>
    </row>
    <row r="15" spans="1:9">
      <c r="A15" s="1205" t="s">
        <v>1497</v>
      </c>
      <c r="B15" s="1208">
        <v>472.38</v>
      </c>
      <c r="C15" s="1208"/>
      <c r="D15" s="1204"/>
      <c r="E15" s="1204"/>
      <c r="F15" s="1204"/>
      <c r="G15" s="1204"/>
    </row>
    <row r="16" spans="1:9">
      <c r="A16" s="1205" t="s">
        <v>1498</v>
      </c>
      <c r="B16" s="1208"/>
      <c r="C16" s="1208"/>
      <c r="D16" s="1204"/>
      <c r="E16" s="1204"/>
      <c r="F16" s="1204"/>
      <c r="G16" s="1204"/>
    </row>
    <row r="17" spans="1:7">
      <c r="A17" s="1205" t="s">
        <v>1502</v>
      </c>
      <c r="B17" s="1208">
        <v>1108.644</v>
      </c>
      <c r="C17" s="1208"/>
      <c r="D17" s="1204"/>
      <c r="E17" s="1204"/>
      <c r="F17" s="1204"/>
      <c r="G17" s="1204"/>
    </row>
    <row r="18" spans="1:7">
      <c r="A18" s="1205" t="s">
        <v>1503</v>
      </c>
      <c r="B18" s="1208">
        <v>1970.91</v>
      </c>
      <c r="C18" s="1208"/>
      <c r="D18" s="1204"/>
      <c r="E18" s="1204"/>
      <c r="F18" s="1204"/>
      <c r="G18" s="1204"/>
    </row>
    <row r="19" spans="1:7">
      <c r="A19" s="1205" t="s">
        <v>1499</v>
      </c>
      <c r="B19" s="1208"/>
      <c r="C19" s="1208"/>
      <c r="D19" s="1204"/>
      <c r="E19" s="1204"/>
      <c r="F19" s="1204"/>
      <c r="G19" s="1204"/>
    </row>
    <row r="20" spans="1:7">
      <c r="A20" s="1205" t="s">
        <v>1021</v>
      </c>
      <c r="B20" s="1208">
        <f>B17+B14*0.96*0.59+B15*0.96*0.59</f>
        <v>3832.0311359999992</v>
      </c>
      <c r="C20" s="1208"/>
      <c r="D20" s="1204"/>
      <c r="E20" s="1204"/>
      <c r="F20" s="1204"/>
      <c r="G20" s="1204"/>
    </row>
    <row r="21" spans="1:7">
      <c r="A21" s="1205" t="s">
        <v>1030</v>
      </c>
      <c r="B21" s="1208">
        <f>B18+B14*0.96*0.41+B15*0.96*0.41</f>
        <v>3863.4332639999993</v>
      </c>
      <c r="C21" s="1208"/>
      <c r="D21" s="1204"/>
      <c r="E21" s="1204"/>
      <c r="F21" s="1204"/>
      <c r="G21" s="1204"/>
    </row>
    <row r="22" spans="1:7">
      <c r="A22" s="1205" t="s">
        <v>1500</v>
      </c>
      <c r="B22" s="1208">
        <f>(B14+B15)-(B20-B17)-(B21-B18)</f>
        <v>192.32960000000116</v>
      </c>
      <c r="C22" s="1205"/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A22" workbookViewId="0">
      <selection activeCell="G12" sqref="G12"/>
    </sheetView>
  </sheetViews>
  <sheetFormatPr defaultRowHeight="15"/>
  <cols>
    <col min="1" max="1" width="57" style="658" customWidth="1"/>
    <col min="2" max="2" width="15.42578125" style="658" customWidth="1"/>
    <col min="3" max="4" width="14.5703125" style="658" customWidth="1"/>
    <col min="5" max="5" width="12.28515625" style="658" customWidth="1"/>
    <col min="6" max="6" width="10.42578125" style="658" customWidth="1"/>
    <col min="7" max="7" width="10" style="658" customWidth="1"/>
    <col min="8" max="16384" width="9.140625" style="658"/>
  </cols>
  <sheetData>
    <row r="1" spans="1:12" ht="16.5">
      <c r="A1" s="657" t="s">
        <v>696</v>
      </c>
    </row>
    <row r="2" spans="1:12" ht="17.25" thickBot="1">
      <c r="A2" s="657" t="s">
        <v>697</v>
      </c>
      <c r="B2" s="657"/>
      <c r="C2" s="659"/>
      <c r="D2" s="659"/>
    </row>
    <row r="3" spans="1:12" ht="49.5" customHeight="1" thickBot="1">
      <c r="A3" s="660" t="s">
        <v>698</v>
      </c>
      <c r="B3" s="661" t="s">
        <v>699</v>
      </c>
      <c r="C3" s="661" t="s">
        <v>700</v>
      </c>
      <c r="D3" s="662" t="s">
        <v>701</v>
      </c>
      <c r="E3" s="659"/>
      <c r="F3" s="659"/>
      <c r="G3" s="659"/>
      <c r="H3" s="659"/>
      <c r="I3" s="659"/>
      <c r="J3" s="659"/>
      <c r="K3" s="659"/>
      <c r="L3" s="659"/>
    </row>
    <row r="4" spans="1:12" ht="15.75" customHeight="1">
      <c r="A4" s="663" t="s">
        <v>702</v>
      </c>
      <c r="B4" s="664"/>
      <c r="C4" s="664"/>
      <c r="D4" s="665"/>
      <c r="E4" s="659"/>
      <c r="F4" s="659"/>
      <c r="G4" s="659"/>
      <c r="H4" s="659"/>
      <c r="I4" s="659"/>
      <c r="J4" s="659"/>
      <c r="K4" s="659"/>
      <c r="L4" s="659"/>
    </row>
    <row r="5" spans="1:12" ht="16.5">
      <c r="A5" s="666" t="s">
        <v>703</v>
      </c>
      <c r="B5" s="667">
        <v>22218.6</v>
      </c>
      <c r="C5" s="667">
        <v>17842.573</v>
      </c>
      <c r="D5" s="668"/>
      <c r="E5" s="659"/>
      <c r="F5" s="659"/>
      <c r="G5" s="659"/>
      <c r="H5" s="659"/>
      <c r="I5" s="659"/>
      <c r="J5" s="659"/>
      <c r="K5" s="659"/>
      <c r="L5" s="659"/>
    </row>
    <row r="6" spans="1:12" ht="16.5">
      <c r="A6" s="669" t="s">
        <v>704</v>
      </c>
      <c r="B6" s="667">
        <v>13.04</v>
      </c>
      <c r="C6" s="667">
        <v>13.04</v>
      </c>
      <c r="D6" s="668"/>
      <c r="E6" s="659"/>
      <c r="F6" s="659"/>
      <c r="G6" s="659"/>
      <c r="H6" s="659"/>
      <c r="I6" s="659"/>
      <c r="J6" s="659"/>
      <c r="K6" s="659"/>
      <c r="L6" s="659"/>
    </row>
    <row r="7" spans="1:12" ht="17.25" thickBot="1">
      <c r="A7" s="670" t="s">
        <v>705</v>
      </c>
      <c r="B7" s="671">
        <f>B5*B6</f>
        <v>289730.54399999994</v>
      </c>
      <c r="C7" s="671">
        <f>C5*C6</f>
        <v>232667.15191999997</v>
      </c>
      <c r="D7" s="672">
        <f>B7-C7</f>
        <v>57063.392079999961</v>
      </c>
      <c r="E7" s="659"/>
      <c r="F7" s="659"/>
      <c r="G7" s="659"/>
      <c r="H7" s="659"/>
      <c r="I7" s="659"/>
      <c r="J7" s="659"/>
      <c r="K7" s="659"/>
      <c r="L7" s="659"/>
    </row>
    <row r="8" spans="1:12" ht="16.5">
      <c r="A8" s="663" t="s">
        <v>706</v>
      </c>
      <c r="B8" s="664"/>
      <c r="C8" s="664"/>
      <c r="D8" s="665"/>
      <c r="E8" s="659"/>
      <c r="F8" s="659"/>
      <c r="G8" s="659"/>
      <c r="H8" s="659"/>
      <c r="I8" s="659"/>
      <c r="J8" s="659"/>
      <c r="K8" s="659"/>
      <c r="L8" s="659"/>
    </row>
    <row r="9" spans="1:12" ht="16.5">
      <c r="A9" s="673" t="s">
        <v>707</v>
      </c>
      <c r="B9" s="674">
        <v>22218.6</v>
      </c>
      <c r="C9" s="674">
        <v>18134.271000000001</v>
      </c>
      <c r="D9" s="675"/>
      <c r="E9" s="659"/>
      <c r="F9" s="659"/>
      <c r="G9" s="659"/>
      <c r="H9" s="659"/>
      <c r="I9" s="659"/>
      <c r="J9" s="659"/>
      <c r="K9" s="659"/>
      <c r="L9" s="659"/>
    </row>
    <row r="10" spans="1:12" ht="16.5">
      <c r="A10" s="676" t="s">
        <v>708</v>
      </c>
      <c r="B10" s="674">
        <v>13.8</v>
      </c>
      <c r="C10" s="674">
        <v>13.8</v>
      </c>
      <c r="D10" s="675"/>
      <c r="E10" s="659"/>
      <c r="F10" s="659"/>
      <c r="G10" s="659"/>
      <c r="H10" s="659"/>
      <c r="I10" s="659"/>
      <c r="J10" s="659"/>
      <c r="K10" s="659"/>
      <c r="L10" s="659"/>
    </row>
    <row r="11" spans="1:12" ht="17.25" thickBot="1">
      <c r="A11" s="677" t="s">
        <v>709</v>
      </c>
      <c r="B11" s="678">
        <f>B9*B10</f>
        <v>306616.68</v>
      </c>
      <c r="C11" s="678">
        <f>C9*C10</f>
        <v>250252.93980000002</v>
      </c>
      <c r="D11" s="679">
        <f>B11-C11</f>
        <v>56363.740199999971</v>
      </c>
      <c r="E11" s="659"/>
      <c r="F11" s="659"/>
      <c r="G11" s="659"/>
      <c r="H11" s="659"/>
      <c r="I11" s="659"/>
      <c r="J11" s="659"/>
      <c r="K11" s="659"/>
      <c r="L11" s="659"/>
    </row>
    <row r="12" spans="1:12" ht="16.5">
      <c r="A12" s="680" t="s">
        <v>710</v>
      </c>
      <c r="B12" s="681">
        <f>B5+B9</f>
        <v>44437.2</v>
      </c>
      <c r="C12" s="681">
        <f>C5+C9</f>
        <v>35976.843999999997</v>
      </c>
      <c r="D12" s="682"/>
      <c r="E12" s="659"/>
      <c r="F12" s="659"/>
      <c r="G12" s="659"/>
      <c r="H12" s="659"/>
      <c r="I12" s="659"/>
      <c r="J12" s="659"/>
      <c r="K12" s="659"/>
      <c r="L12" s="659"/>
    </row>
    <row r="13" spans="1:12" ht="16.5">
      <c r="A13" s="683" t="s">
        <v>711</v>
      </c>
      <c r="B13" s="684">
        <f>(B7+B11)/(B5+B9)</f>
        <v>13.42</v>
      </c>
      <c r="C13" s="684">
        <f>(C7+C11)/(C5+C9)</f>
        <v>13.423081016222547</v>
      </c>
      <c r="D13" s="685"/>
      <c r="E13" s="659"/>
      <c r="F13" s="659"/>
      <c r="G13" s="659"/>
      <c r="H13" s="659"/>
      <c r="I13" s="659"/>
      <c r="J13" s="659"/>
      <c r="K13" s="659"/>
      <c r="L13" s="659"/>
    </row>
    <row r="14" spans="1:12" ht="17.25" thickBot="1">
      <c r="A14" s="686" t="s">
        <v>712</v>
      </c>
      <c r="B14" s="687">
        <f>B7+B11</f>
        <v>596347.22399999993</v>
      </c>
      <c r="C14" s="687">
        <f>C7+C11</f>
        <v>482920.09172000003</v>
      </c>
      <c r="D14" s="688">
        <f>B14-C14</f>
        <v>113427.1322799999</v>
      </c>
      <c r="E14" s="659"/>
      <c r="F14" s="659"/>
      <c r="G14" s="659"/>
      <c r="H14" s="659"/>
      <c r="I14" s="659"/>
      <c r="J14" s="659"/>
      <c r="K14" s="659"/>
      <c r="L14" s="659"/>
    </row>
    <row r="15" spans="1:12" ht="16.5">
      <c r="A15" s="659"/>
      <c r="B15" s="689"/>
      <c r="C15" s="659"/>
      <c r="D15" s="659"/>
      <c r="E15" s="659"/>
      <c r="F15" s="659"/>
      <c r="G15" s="659"/>
      <c r="H15" s="659"/>
      <c r="I15" s="659"/>
      <c r="J15" s="659"/>
      <c r="K15" s="659"/>
      <c r="L15" s="659"/>
    </row>
    <row r="16" spans="1:12" ht="17.25" thickBot="1">
      <c r="A16" s="657" t="s">
        <v>713</v>
      </c>
      <c r="B16" s="690"/>
      <c r="C16" s="659"/>
      <c r="D16" s="659"/>
      <c r="E16" s="659"/>
      <c r="F16" s="659"/>
      <c r="G16" s="659"/>
      <c r="H16" s="659"/>
      <c r="I16" s="659"/>
      <c r="J16" s="659"/>
      <c r="K16" s="659"/>
      <c r="L16" s="659"/>
    </row>
    <row r="17" spans="1:12" ht="48" thickBot="1">
      <c r="A17" s="660" t="s">
        <v>698</v>
      </c>
      <c r="B17" s="661" t="s">
        <v>714</v>
      </c>
      <c r="C17" s="661" t="s">
        <v>700</v>
      </c>
      <c r="D17" s="662" t="s">
        <v>701</v>
      </c>
      <c r="E17" s="659"/>
      <c r="F17" s="659"/>
      <c r="G17" s="659"/>
      <c r="H17" s="659"/>
      <c r="I17" s="659"/>
      <c r="J17" s="659"/>
      <c r="K17" s="659"/>
      <c r="L17" s="659"/>
    </row>
    <row r="18" spans="1:12" ht="16.5">
      <c r="A18" s="663" t="s">
        <v>702</v>
      </c>
      <c r="B18" s="664"/>
      <c r="C18" s="664"/>
      <c r="D18" s="665"/>
      <c r="E18" s="659"/>
      <c r="F18" s="659"/>
      <c r="G18" s="659"/>
      <c r="H18" s="659"/>
      <c r="I18" s="659"/>
      <c r="J18" s="659"/>
      <c r="K18" s="659"/>
      <c r="L18" s="659"/>
    </row>
    <row r="19" spans="1:12" ht="16.5">
      <c r="A19" s="691" t="s">
        <v>715</v>
      </c>
      <c r="B19" s="667">
        <v>26086.42</v>
      </c>
      <c r="C19" s="667"/>
      <c r="D19" s="692"/>
      <c r="E19" s="659"/>
      <c r="F19" s="659"/>
      <c r="G19" s="659"/>
      <c r="H19" s="659"/>
      <c r="I19" s="659"/>
      <c r="J19" s="659"/>
      <c r="K19" s="659"/>
      <c r="L19" s="659"/>
    </row>
    <row r="20" spans="1:12" ht="16.5">
      <c r="A20" s="691" t="s">
        <v>716</v>
      </c>
      <c r="B20" s="667">
        <v>5209.09</v>
      </c>
      <c r="C20" s="667"/>
      <c r="D20" s="692"/>
      <c r="E20" s="659"/>
      <c r="F20" s="659"/>
      <c r="G20" s="659"/>
      <c r="H20" s="659"/>
      <c r="I20" s="659"/>
      <c r="J20" s="659"/>
      <c r="K20" s="659"/>
      <c r="L20" s="659"/>
    </row>
    <row r="21" spans="1:12" ht="16.5">
      <c r="A21" s="666" t="s">
        <v>717</v>
      </c>
      <c r="B21" s="667">
        <f>B19-B20</f>
        <v>20877.329999999998</v>
      </c>
      <c r="C21" s="667">
        <v>16970.597000000002</v>
      </c>
      <c r="D21" s="668"/>
      <c r="E21" s="659"/>
      <c r="F21" s="659"/>
      <c r="G21" s="659"/>
      <c r="H21" s="659"/>
      <c r="I21" s="659"/>
      <c r="J21" s="659"/>
      <c r="K21" s="659"/>
      <c r="L21" s="659"/>
    </row>
    <row r="22" spans="1:12" ht="16.5">
      <c r="A22" s="669" t="s">
        <v>704</v>
      </c>
      <c r="B22" s="667">
        <v>5.8</v>
      </c>
      <c r="C22" s="667">
        <v>5.8</v>
      </c>
      <c r="D22" s="668"/>
      <c r="E22" s="659"/>
      <c r="F22" s="659"/>
      <c r="G22" s="659"/>
      <c r="H22" s="659"/>
      <c r="I22" s="659"/>
      <c r="J22" s="659"/>
      <c r="K22" s="659"/>
      <c r="L22" s="659"/>
    </row>
    <row r="23" spans="1:12" ht="17.25" thickBot="1">
      <c r="A23" s="670" t="s">
        <v>705</v>
      </c>
      <c r="B23" s="671">
        <f>B21*B22</f>
        <v>121088.51399999998</v>
      </c>
      <c r="C23" s="671">
        <f>C21*C22</f>
        <v>98429.462599999999</v>
      </c>
      <c r="D23" s="672">
        <f>B23-C23</f>
        <v>22659.051399999982</v>
      </c>
      <c r="E23" s="659"/>
      <c r="F23" s="659"/>
      <c r="G23" s="659"/>
      <c r="H23" s="659"/>
      <c r="I23" s="659"/>
      <c r="J23" s="659"/>
      <c r="K23" s="659"/>
      <c r="L23" s="659"/>
    </row>
    <row r="24" spans="1:12" ht="16.5">
      <c r="A24" s="663" t="s">
        <v>706</v>
      </c>
      <c r="B24" s="664"/>
      <c r="C24" s="664"/>
      <c r="D24" s="665"/>
      <c r="E24" s="659"/>
      <c r="F24" s="659"/>
      <c r="G24" s="659"/>
      <c r="H24" s="659"/>
      <c r="I24" s="659"/>
      <c r="J24" s="659"/>
      <c r="K24" s="659"/>
      <c r="L24" s="659"/>
    </row>
    <row r="25" spans="1:12" ht="16.5">
      <c r="A25" s="691" t="s">
        <v>715</v>
      </c>
      <c r="B25" s="667">
        <v>26086.42</v>
      </c>
      <c r="C25" s="693"/>
      <c r="D25" s="692"/>
      <c r="E25" s="659"/>
      <c r="F25" s="659"/>
      <c r="G25" s="659"/>
      <c r="H25" s="659"/>
      <c r="I25" s="659"/>
      <c r="J25" s="659"/>
      <c r="K25" s="659"/>
      <c r="L25" s="659"/>
    </row>
    <row r="26" spans="1:12" ht="16.5">
      <c r="A26" s="691" t="s">
        <v>716</v>
      </c>
      <c r="B26" s="667">
        <v>5209.09</v>
      </c>
      <c r="C26" s="693"/>
      <c r="D26" s="692"/>
      <c r="E26" s="659"/>
      <c r="F26" s="659"/>
      <c r="G26" s="659"/>
      <c r="H26" s="659"/>
      <c r="I26" s="659"/>
      <c r="J26" s="659"/>
      <c r="K26" s="659"/>
      <c r="L26" s="659"/>
    </row>
    <row r="27" spans="1:12" ht="16.5">
      <c r="A27" s="673" t="s">
        <v>707</v>
      </c>
      <c r="B27" s="667">
        <f>B25-B26</f>
        <v>20877.329999999998</v>
      </c>
      <c r="C27" s="674">
        <v>16536.904999999999</v>
      </c>
      <c r="D27" s="675"/>
      <c r="E27" s="659"/>
      <c r="F27" s="659"/>
      <c r="G27" s="659"/>
      <c r="H27" s="659"/>
      <c r="I27" s="659"/>
      <c r="J27" s="659"/>
      <c r="K27" s="659"/>
      <c r="L27" s="659"/>
    </row>
    <row r="28" spans="1:12" ht="16.5">
      <c r="A28" s="676" t="s">
        <v>708</v>
      </c>
      <c r="B28" s="674">
        <v>6.1</v>
      </c>
      <c r="C28" s="674">
        <v>6.1</v>
      </c>
      <c r="D28" s="675"/>
      <c r="E28" s="659"/>
      <c r="F28" s="659"/>
      <c r="G28" s="659"/>
      <c r="H28" s="659"/>
      <c r="I28" s="659"/>
      <c r="J28" s="659"/>
      <c r="K28" s="659"/>
      <c r="L28" s="659"/>
    </row>
    <row r="29" spans="1:12" ht="16.5" thickBot="1">
      <c r="A29" s="677" t="s">
        <v>709</v>
      </c>
      <c r="B29" s="678">
        <f>B27*B28</f>
        <v>127351.71299999997</v>
      </c>
      <c r="C29" s="678">
        <f>C27*C28</f>
        <v>100875.12049999999</v>
      </c>
      <c r="D29" s="679">
        <f>B29-C29</f>
        <v>26476.592499999984</v>
      </c>
    </row>
    <row r="30" spans="1:12" ht="15.75">
      <c r="A30" s="680" t="s">
        <v>710</v>
      </c>
      <c r="B30" s="681">
        <f>B21+B27</f>
        <v>41754.659999999996</v>
      </c>
      <c r="C30" s="681">
        <f>C21+C27</f>
        <v>33507.502</v>
      </c>
      <c r="D30" s="682"/>
      <c r="E30" s="694"/>
    </row>
    <row r="31" spans="1:12" ht="15.75">
      <c r="A31" s="683" t="s">
        <v>711</v>
      </c>
      <c r="B31" s="684">
        <f>(B23+B29)/(B21+B27)</f>
        <v>5.9499999999999993</v>
      </c>
      <c r="C31" s="684">
        <f>(C23+C29)/(C21+C27)</f>
        <v>5.9480585302956932</v>
      </c>
      <c r="D31" s="685"/>
    </row>
    <row r="32" spans="1:12" ht="16.5" thickBot="1">
      <c r="A32" s="686" t="s">
        <v>712</v>
      </c>
      <c r="B32" s="687">
        <f>B30*B31</f>
        <v>248440.22699999996</v>
      </c>
      <c r="C32" s="687">
        <f>C30*C31</f>
        <v>199304.58309999999</v>
      </c>
      <c r="D32" s="688">
        <f>B32-C32</f>
        <v>49135.643899999966</v>
      </c>
    </row>
    <row r="33" spans="1:8" ht="15.75" thickBot="1">
      <c r="B33" s="694"/>
      <c r="C33" s="694"/>
    </row>
    <row r="34" spans="1:8" ht="30.75" customHeight="1" thickBot="1">
      <c r="A34" s="695" t="s">
        <v>718</v>
      </c>
      <c r="B34" s="696"/>
      <c r="C34" s="696"/>
      <c r="D34" s="697">
        <f>D14+D32</f>
        <v>162562.77617999987</v>
      </c>
    </row>
    <row r="35" spans="1:8">
      <c r="B35" s="694"/>
    </row>
    <row r="37" spans="1:8">
      <c r="A37" s="698" t="s">
        <v>719</v>
      </c>
    </row>
    <row r="38" spans="1:8">
      <c r="A38" s="698" t="s">
        <v>720</v>
      </c>
    </row>
    <row r="43" spans="1:8">
      <c r="B43" s="698"/>
      <c r="C43" s="698"/>
      <c r="D43" s="698"/>
      <c r="E43" s="698"/>
      <c r="F43" s="698"/>
      <c r="G43" s="698"/>
    </row>
    <row r="44" spans="1:8">
      <c r="B44" s="698" t="s">
        <v>721</v>
      </c>
      <c r="C44" s="698"/>
      <c r="D44" s="698"/>
      <c r="E44" s="698"/>
      <c r="F44" s="698"/>
      <c r="G44" s="698"/>
    </row>
    <row r="45" spans="1:8" ht="90">
      <c r="B45" s="699"/>
      <c r="C45" s="699"/>
      <c r="D45" s="699"/>
      <c r="E45" s="700" t="s">
        <v>722</v>
      </c>
      <c r="F45" s="700" t="s">
        <v>280</v>
      </c>
      <c r="G45" s="700" t="s">
        <v>723</v>
      </c>
      <c r="H45" s="700" t="s">
        <v>724</v>
      </c>
    </row>
    <row r="46" spans="1:8">
      <c r="B46" s="701" t="s">
        <v>725</v>
      </c>
      <c r="C46" s="701"/>
      <c r="D46" s="701"/>
      <c r="E46" s="702">
        <f>B30</f>
        <v>41754.659999999996</v>
      </c>
      <c r="F46" s="703">
        <v>100</v>
      </c>
      <c r="G46" s="703">
        <v>10418.174999999999</v>
      </c>
      <c r="H46" s="703">
        <f>E46-G46</f>
        <v>31336.484999999997</v>
      </c>
    </row>
    <row r="47" spans="1:8">
      <c r="B47" s="701" t="s">
        <v>726</v>
      </c>
      <c r="C47" s="701"/>
      <c r="D47" s="701"/>
      <c r="E47" s="702">
        <v>26086.42</v>
      </c>
      <c r="F47" s="703">
        <v>50</v>
      </c>
      <c r="G47" s="703">
        <f>G46/2</f>
        <v>5209.0874999999996</v>
      </c>
      <c r="H47" s="703">
        <f t="shared" ref="H47:H48" si="0">E47-G47</f>
        <v>20877.332499999997</v>
      </c>
    </row>
    <row r="48" spans="1:8">
      <c r="B48" s="701" t="s">
        <v>727</v>
      </c>
      <c r="C48" s="701"/>
      <c r="D48" s="701"/>
      <c r="E48" s="702">
        <v>26086.42</v>
      </c>
      <c r="F48" s="703">
        <v>50</v>
      </c>
      <c r="G48" s="703">
        <f>G46/2</f>
        <v>5209.0874999999996</v>
      </c>
      <c r="H48" s="703">
        <f t="shared" si="0"/>
        <v>20877.332499999997</v>
      </c>
    </row>
    <row r="49" spans="2:8">
      <c r="B49" s="699"/>
      <c r="C49" s="699"/>
      <c r="D49" s="699"/>
      <c r="E49" s="703"/>
      <c r="F49" s="703"/>
      <c r="G49" s="703"/>
      <c r="H49" s="704"/>
    </row>
    <row r="50" spans="2:8">
      <c r="B50" s="698"/>
      <c r="C50" s="698"/>
      <c r="D50" s="698"/>
      <c r="E50" s="698"/>
      <c r="F50" s="698"/>
      <c r="G50" s="698"/>
    </row>
    <row r="51" spans="2:8">
      <c r="B51" s="698"/>
      <c r="C51" s="698"/>
      <c r="D51" s="698"/>
      <c r="E51" s="698"/>
      <c r="F51" s="698"/>
      <c r="G51" s="698"/>
    </row>
    <row r="52" spans="2:8">
      <c r="B52" s="698"/>
      <c r="C52" s="698"/>
      <c r="D52" s="698"/>
      <c r="E52" s="698"/>
      <c r="F52" s="698"/>
      <c r="G52" s="698"/>
    </row>
    <row r="53" spans="2:8">
      <c r="B53" s="698"/>
      <c r="C53" s="698"/>
      <c r="D53" s="698"/>
      <c r="E53" s="698"/>
      <c r="F53" s="698"/>
      <c r="G53" s="698"/>
    </row>
    <row r="54" spans="2:8">
      <c r="B54" s="698"/>
      <c r="C54" s="698"/>
      <c r="D54" s="698"/>
      <c r="E54" s="698"/>
      <c r="F54" s="698"/>
      <c r="G54" s="698"/>
    </row>
    <row r="55" spans="2:8">
      <c r="B55" s="698"/>
      <c r="C55" s="698"/>
      <c r="D55" s="698"/>
      <c r="E55" s="698"/>
      <c r="F55" s="698"/>
      <c r="G55" s="698"/>
    </row>
    <row r="56" spans="2:8">
      <c r="B56" s="698"/>
      <c r="C56" s="698"/>
      <c r="D56" s="698"/>
      <c r="E56" s="698"/>
      <c r="F56" s="698"/>
      <c r="G56" s="698"/>
    </row>
    <row r="57" spans="2:8">
      <c r="B57" s="698"/>
      <c r="C57" s="698"/>
      <c r="D57" s="698"/>
      <c r="E57" s="698"/>
      <c r="F57" s="698"/>
      <c r="G57" s="698"/>
    </row>
    <row r="58" spans="2:8">
      <c r="B58" s="698"/>
      <c r="C58" s="698"/>
      <c r="D58" s="698"/>
      <c r="E58" s="698"/>
      <c r="F58" s="698"/>
      <c r="G58" s="698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A16" workbookViewId="0">
      <selection activeCell="F22" sqref="F22:F23"/>
    </sheetView>
  </sheetViews>
  <sheetFormatPr defaultRowHeight="15"/>
  <cols>
    <col min="1" max="1" width="57" style="658" customWidth="1"/>
    <col min="2" max="2" width="15.42578125" style="658" customWidth="1"/>
    <col min="3" max="4" width="14.5703125" style="658" customWidth="1"/>
    <col min="5" max="5" width="12.28515625" style="658" customWidth="1"/>
    <col min="6" max="6" width="10.42578125" style="658" customWidth="1"/>
    <col min="7" max="7" width="10" style="658" customWidth="1"/>
    <col min="8" max="16384" width="9.140625" style="658"/>
  </cols>
  <sheetData>
    <row r="1" spans="1:12" ht="16.5">
      <c r="A1" s="657" t="s">
        <v>728</v>
      </c>
    </row>
    <row r="2" spans="1:12" ht="17.25" thickBot="1">
      <c r="A2" s="657" t="s">
        <v>697</v>
      </c>
      <c r="B2" s="657"/>
      <c r="C2" s="659"/>
      <c r="D2" s="659"/>
    </row>
    <row r="3" spans="1:12" ht="49.5" customHeight="1" thickBot="1">
      <c r="A3" s="660" t="s">
        <v>698</v>
      </c>
      <c r="B3" s="661" t="s">
        <v>699</v>
      </c>
      <c r="C3" s="661" t="s">
        <v>729</v>
      </c>
      <c r="D3" s="662" t="s">
        <v>701</v>
      </c>
      <c r="E3" s="659"/>
      <c r="F3" s="659"/>
      <c r="G3" s="659"/>
      <c r="H3" s="659"/>
      <c r="I3" s="659"/>
      <c r="J3" s="659"/>
      <c r="K3" s="659"/>
      <c r="L3" s="659"/>
    </row>
    <row r="4" spans="1:12" ht="15.75" customHeight="1">
      <c r="A4" s="663" t="s">
        <v>730</v>
      </c>
      <c r="B4" s="664"/>
      <c r="C4" s="664"/>
      <c r="D4" s="665"/>
      <c r="E4" s="659"/>
      <c r="F4" s="659"/>
      <c r="G4" s="659"/>
      <c r="H4" s="659"/>
      <c r="I4" s="659"/>
      <c r="J4" s="659"/>
      <c r="K4" s="659"/>
      <c r="L4" s="659"/>
    </row>
    <row r="5" spans="1:12" ht="16.5">
      <c r="A5" s="666" t="s">
        <v>731</v>
      </c>
      <c r="B5" s="667">
        <v>21334.586599999999</v>
      </c>
      <c r="C5" s="667">
        <v>18062.98</v>
      </c>
      <c r="D5" s="668"/>
      <c r="E5" s="659"/>
      <c r="F5" s="659"/>
      <c r="G5" s="659"/>
      <c r="H5" s="659"/>
      <c r="I5" s="659"/>
      <c r="J5" s="659"/>
      <c r="K5" s="659"/>
      <c r="L5" s="659"/>
    </row>
    <row r="6" spans="1:12" ht="16.5">
      <c r="A6" s="669" t="s">
        <v>732</v>
      </c>
      <c r="B6" s="667">
        <v>13.8</v>
      </c>
      <c r="C6" s="667">
        <v>13.8</v>
      </c>
      <c r="D6" s="668"/>
      <c r="E6" s="659"/>
      <c r="F6" s="659"/>
      <c r="G6" s="659"/>
      <c r="H6" s="659"/>
      <c r="I6" s="659"/>
      <c r="J6" s="659"/>
      <c r="K6" s="659"/>
      <c r="L6" s="659"/>
    </row>
    <row r="7" spans="1:12" ht="17.25" thickBot="1">
      <c r="A7" s="670" t="s">
        <v>733</v>
      </c>
      <c r="B7" s="671">
        <f>B5*B6</f>
        <v>294417.29508000001</v>
      </c>
      <c r="C7" s="671">
        <f>C5*C6</f>
        <v>249269.12400000001</v>
      </c>
      <c r="D7" s="672">
        <f>B7-C7</f>
        <v>45148.17108</v>
      </c>
      <c r="E7" s="659"/>
      <c r="F7" s="659"/>
      <c r="G7" s="659"/>
      <c r="H7" s="659"/>
      <c r="I7" s="659"/>
      <c r="J7" s="659"/>
      <c r="K7" s="659"/>
      <c r="L7" s="659"/>
    </row>
    <row r="8" spans="1:12" ht="16.5">
      <c r="A8" s="663" t="s">
        <v>734</v>
      </c>
      <c r="B8" s="664"/>
      <c r="C8" s="664"/>
      <c r="D8" s="665"/>
      <c r="E8" s="659"/>
      <c r="F8" s="659"/>
      <c r="G8" s="659"/>
      <c r="H8" s="659"/>
      <c r="I8" s="659"/>
      <c r="J8" s="659"/>
      <c r="K8" s="659"/>
      <c r="L8" s="659"/>
    </row>
    <row r="9" spans="1:12" ht="16.5">
      <c r="A9" s="673" t="s">
        <v>735</v>
      </c>
      <c r="B9" s="674">
        <v>21334.6</v>
      </c>
      <c r="C9" s="674">
        <f>35607.886-C5</f>
        <v>17544.905999999999</v>
      </c>
      <c r="D9" s="675"/>
      <c r="E9" s="659"/>
      <c r="F9" s="659"/>
      <c r="G9" s="659"/>
      <c r="H9" s="659"/>
      <c r="I9" s="659"/>
      <c r="J9" s="659"/>
      <c r="K9" s="659"/>
      <c r="L9" s="659"/>
    </row>
    <row r="10" spans="1:12" ht="16.5">
      <c r="A10" s="676" t="s">
        <v>736</v>
      </c>
      <c r="B10" s="674">
        <v>14.42</v>
      </c>
      <c r="C10" s="674">
        <v>14.42</v>
      </c>
      <c r="D10" s="675"/>
      <c r="E10" s="659"/>
      <c r="F10" s="659"/>
      <c r="G10" s="659"/>
      <c r="H10" s="659"/>
      <c r="I10" s="659"/>
      <c r="J10" s="659"/>
      <c r="K10" s="659"/>
      <c r="L10" s="659"/>
    </row>
    <row r="11" spans="1:12" ht="17.25" thickBot="1">
      <c r="A11" s="677" t="s">
        <v>737</v>
      </c>
      <c r="B11" s="678">
        <f>B9*B10</f>
        <v>307644.93199999997</v>
      </c>
      <c r="C11" s="678">
        <f>C9*C10</f>
        <v>252997.54452</v>
      </c>
      <c r="D11" s="679">
        <f>B11-C11</f>
        <v>54647.387479999976</v>
      </c>
      <c r="E11" s="659"/>
      <c r="F11" s="659"/>
      <c r="G11" s="659"/>
      <c r="H11" s="659"/>
      <c r="I11" s="659"/>
      <c r="J11" s="659"/>
      <c r="K11" s="659"/>
      <c r="L11" s="659"/>
    </row>
    <row r="12" spans="1:12" ht="16.5">
      <c r="A12" s="680" t="s">
        <v>738</v>
      </c>
      <c r="B12" s="681">
        <f>B5+B9</f>
        <v>42669.186600000001</v>
      </c>
      <c r="C12" s="681">
        <f>C5+C9</f>
        <v>35607.885999999999</v>
      </c>
      <c r="D12" s="682"/>
      <c r="E12" s="659"/>
      <c r="F12" s="659"/>
      <c r="G12" s="659"/>
      <c r="H12" s="659"/>
      <c r="I12" s="659"/>
      <c r="J12" s="659"/>
      <c r="K12" s="659"/>
      <c r="L12" s="659"/>
    </row>
    <row r="13" spans="1:12" ht="16.5">
      <c r="A13" s="683" t="s">
        <v>711</v>
      </c>
      <c r="B13" s="684">
        <f>(B7+B11)/(B5+B9)</f>
        <v>14.110000097353625</v>
      </c>
      <c r="C13" s="684">
        <f>(C7+C11)/(C5+C9)</f>
        <v>14.105489680572445</v>
      </c>
      <c r="D13" s="685"/>
      <c r="E13" s="659"/>
      <c r="F13" s="659"/>
      <c r="G13" s="659"/>
      <c r="H13" s="659"/>
      <c r="I13" s="659"/>
      <c r="J13" s="659"/>
      <c r="K13" s="659"/>
      <c r="L13" s="659"/>
    </row>
    <row r="14" spans="1:12" ht="17.25" thickBot="1">
      <c r="A14" s="686" t="s">
        <v>712</v>
      </c>
      <c r="B14" s="687">
        <f>B7+B11</f>
        <v>602062.22707999998</v>
      </c>
      <c r="C14" s="687">
        <f>C7+C11</f>
        <v>502266.66852000001</v>
      </c>
      <c r="D14" s="688">
        <f>B14-C14</f>
        <v>99795.558559999976</v>
      </c>
      <c r="E14" s="659"/>
      <c r="F14" s="659"/>
      <c r="G14" s="659"/>
      <c r="H14" s="659"/>
      <c r="I14" s="659"/>
      <c r="J14" s="659"/>
      <c r="K14" s="659"/>
      <c r="L14" s="659"/>
    </row>
    <row r="15" spans="1:12" ht="16.5">
      <c r="A15" s="659"/>
      <c r="B15" s="689"/>
      <c r="C15" s="659"/>
      <c r="D15" s="659"/>
      <c r="E15" s="659"/>
      <c r="F15" s="659"/>
      <c r="G15" s="659"/>
      <c r="H15" s="659"/>
      <c r="I15" s="659"/>
      <c r="J15" s="659"/>
      <c r="K15" s="659"/>
      <c r="L15" s="659"/>
    </row>
    <row r="16" spans="1:12" ht="17.25" thickBot="1">
      <c r="A16" s="657" t="s">
        <v>713</v>
      </c>
      <c r="B16" s="690"/>
      <c r="C16" s="659"/>
      <c r="D16" s="659"/>
      <c r="E16" s="659"/>
      <c r="F16" s="659"/>
      <c r="G16" s="659"/>
      <c r="H16" s="659"/>
      <c r="I16" s="659"/>
      <c r="J16" s="659"/>
      <c r="K16" s="659"/>
      <c r="L16" s="659"/>
    </row>
    <row r="17" spans="1:12" ht="48" thickBot="1">
      <c r="A17" s="660" t="s">
        <v>698</v>
      </c>
      <c r="B17" s="661" t="s">
        <v>699</v>
      </c>
      <c r="C17" s="661" t="s">
        <v>739</v>
      </c>
      <c r="D17" s="662" t="s">
        <v>701</v>
      </c>
      <c r="E17" s="659"/>
      <c r="F17" s="659"/>
      <c r="G17" s="659"/>
      <c r="H17" s="659"/>
      <c r="I17" s="659"/>
      <c r="J17" s="659"/>
      <c r="K17" s="659"/>
      <c r="L17" s="659"/>
    </row>
    <row r="18" spans="1:12" ht="16.5">
      <c r="A18" s="663" t="s">
        <v>730</v>
      </c>
      <c r="B18" s="664"/>
      <c r="C18" s="664"/>
      <c r="D18" s="665"/>
      <c r="E18" s="659"/>
      <c r="F18" s="659"/>
      <c r="G18" s="659"/>
      <c r="H18" s="659"/>
      <c r="I18" s="659"/>
      <c r="J18" s="659"/>
      <c r="K18" s="659"/>
      <c r="L18" s="659"/>
    </row>
    <row r="19" spans="1:12" ht="16.5">
      <c r="A19" s="691" t="s">
        <v>715</v>
      </c>
      <c r="B19" s="667">
        <v>24421.9</v>
      </c>
      <c r="C19" s="667"/>
      <c r="D19" s="705"/>
      <c r="E19" s="659"/>
      <c r="F19" s="659"/>
      <c r="G19" s="659"/>
      <c r="H19" s="659"/>
      <c r="I19" s="659"/>
      <c r="J19" s="659"/>
      <c r="K19" s="659"/>
      <c r="L19" s="659"/>
    </row>
    <row r="20" spans="1:12" ht="16.5">
      <c r="A20" s="691" t="s">
        <v>716</v>
      </c>
      <c r="B20" s="667">
        <f>11354.172/2</f>
        <v>5677.0860000000002</v>
      </c>
      <c r="C20" s="667"/>
      <c r="D20" s="705"/>
      <c r="E20" s="659"/>
      <c r="F20" s="659"/>
      <c r="G20" s="659"/>
      <c r="H20" s="659"/>
      <c r="I20" s="659"/>
      <c r="J20" s="659"/>
      <c r="K20" s="659"/>
      <c r="L20" s="659"/>
    </row>
    <row r="21" spans="1:12" ht="16.5">
      <c r="A21" s="666" t="s">
        <v>740</v>
      </c>
      <c r="B21" s="667">
        <f>B19-B20</f>
        <v>18744.814000000002</v>
      </c>
      <c r="C21" s="667">
        <v>18062.985000000001</v>
      </c>
      <c r="D21" s="668"/>
      <c r="E21" s="659"/>
      <c r="F21" s="659"/>
      <c r="G21" s="659"/>
      <c r="H21" s="659"/>
      <c r="I21" s="659"/>
      <c r="J21" s="659"/>
      <c r="K21" s="659"/>
      <c r="L21" s="659"/>
    </row>
    <row r="22" spans="1:12" ht="16.5">
      <c r="A22" s="669" t="s">
        <v>732</v>
      </c>
      <c r="B22" s="667">
        <v>6.1</v>
      </c>
      <c r="C22" s="667">
        <v>6.1</v>
      </c>
      <c r="D22" s="668"/>
      <c r="E22" s="659"/>
      <c r="F22" s="659"/>
      <c r="G22" s="659"/>
      <c r="H22" s="659"/>
      <c r="I22" s="659"/>
      <c r="J22" s="659"/>
      <c r="K22" s="659"/>
      <c r="L22" s="659"/>
    </row>
    <row r="23" spans="1:12" ht="17.25" thickBot="1">
      <c r="A23" s="670" t="s">
        <v>733</v>
      </c>
      <c r="B23" s="671">
        <f>B21*B22</f>
        <v>114343.36540000001</v>
      </c>
      <c r="C23" s="671">
        <f>C21*C22</f>
        <v>110184.20849999999</v>
      </c>
      <c r="D23" s="672">
        <f>B23-C23</f>
        <v>4159.1569000000163</v>
      </c>
      <c r="E23" s="659"/>
      <c r="F23" s="659"/>
      <c r="G23" s="659"/>
      <c r="H23" s="659"/>
      <c r="I23" s="659"/>
      <c r="J23" s="659"/>
      <c r="K23" s="659"/>
      <c r="L23" s="659"/>
    </row>
    <row r="24" spans="1:12" ht="16.5">
      <c r="A24" s="663" t="s">
        <v>734</v>
      </c>
      <c r="B24" s="706"/>
      <c r="C24" s="706"/>
      <c r="D24" s="707"/>
      <c r="E24" s="659"/>
      <c r="F24" s="659"/>
      <c r="G24" s="659"/>
      <c r="H24" s="659"/>
      <c r="I24" s="659"/>
      <c r="J24" s="659"/>
      <c r="K24" s="659"/>
      <c r="L24" s="659"/>
    </row>
    <row r="25" spans="1:12" ht="16.5">
      <c r="A25" s="691" t="s">
        <v>715</v>
      </c>
      <c r="B25" s="667">
        <v>24421.85</v>
      </c>
      <c r="C25" s="708"/>
      <c r="D25" s="705"/>
      <c r="E25" s="659"/>
      <c r="F25" s="659"/>
      <c r="G25" s="659"/>
      <c r="H25" s="659"/>
      <c r="I25" s="659"/>
      <c r="J25" s="659"/>
      <c r="K25" s="659"/>
      <c r="L25" s="659"/>
    </row>
    <row r="26" spans="1:12" ht="16.5">
      <c r="A26" s="691" t="s">
        <v>716</v>
      </c>
      <c r="B26" s="667">
        <f>11354.172/2</f>
        <v>5677.0860000000002</v>
      </c>
      <c r="C26" s="708"/>
      <c r="D26" s="705"/>
      <c r="E26" s="659"/>
      <c r="F26" s="659"/>
      <c r="G26" s="659"/>
      <c r="H26" s="659"/>
      <c r="I26" s="659"/>
      <c r="J26" s="659"/>
      <c r="K26" s="659"/>
      <c r="L26" s="659"/>
    </row>
    <row r="27" spans="1:12" ht="16.5">
      <c r="A27" s="673" t="s">
        <v>735</v>
      </c>
      <c r="B27" s="667">
        <f>B25-B26</f>
        <v>18744.763999999999</v>
      </c>
      <c r="C27" s="674">
        <f>35607.886-C21</f>
        <v>17544.900999999998</v>
      </c>
      <c r="D27" s="675"/>
      <c r="E27" s="659"/>
      <c r="F27" s="659"/>
      <c r="G27" s="659"/>
      <c r="H27" s="659"/>
      <c r="I27" s="659"/>
      <c r="J27" s="659"/>
      <c r="K27" s="659"/>
      <c r="L27" s="659"/>
    </row>
    <row r="28" spans="1:12" ht="16.5">
      <c r="A28" s="676" t="s">
        <v>736</v>
      </c>
      <c r="B28" s="674">
        <v>6.34</v>
      </c>
      <c r="C28" s="674">
        <v>6.34</v>
      </c>
      <c r="D28" s="675"/>
      <c r="E28" s="659"/>
      <c r="F28" s="659"/>
      <c r="G28" s="659"/>
      <c r="H28" s="659"/>
      <c r="I28" s="659"/>
      <c r="J28" s="659"/>
      <c r="K28" s="659"/>
      <c r="L28" s="659"/>
    </row>
    <row r="29" spans="1:12" ht="16.5" thickBot="1">
      <c r="A29" s="677" t="s">
        <v>737</v>
      </c>
      <c r="B29" s="678">
        <f>B27*B28</f>
        <v>118841.80376</v>
      </c>
      <c r="C29" s="678">
        <f>C27*C28</f>
        <v>111234.67233999999</v>
      </c>
      <c r="D29" s="679">
        <f>B29-C29</f>
        <v>7607.1314200000052</v>
      </c>
    </row>
    <row r="30" spans="1:12" ht="15.75">
      <c r="A30" s="680" t="s">
        <v>738</v>
      </c>
      <c r="B30" s="681">
        <f>B21+B27</f>
        <v>37489.578000000001</v>
      </c>
      <c r="C30" s="681">
        <f>C21+C27</f>
        <v>35607.885999999999</v>
      </c>
      <c r="D30" s="682"/>
      <c r="E30" s="694"/>
    </row>
    <row r="31" spans="1:12" ht="15.75">
      <c r="A31" s="683" t="s">
        <v>711</v>
      </c>
      <c r="B31" s="684">
        <f>(B23+B29)/(B21+B27)</f>
        <v>6.2199998399555199</v>
      </c>
      <c r="C31" s="684">
        <f>(C23+C29)/(C21+C27)</f>
        <v>6.2182540361986112</v>
      </c>
      <c r="D31" s="685"/>
    </row>
    <row r="32" spans="1:12" ht="16.5" thickBot="1">
      <c r="A32" s="686" t="s">
        <v>741</v>
      </c>
      <c r="B32" s="687">
        <f>B30*B31</f>
        <v>233185.16915999999</v>
      </c>
      <c r="C32" s="687">
        <f>C30*C31</f>
        <v>221418.88084</v>
      </c>
      <c r="D32" s="688">
        <f>D23+D29</f>
        <v>11766.288320000021</v>
      </c>
    </row>
    <row r="33" spans="1:8" ht="15.75" thickBot="1">
      <c r="B33" s="694"/>
      <c r="C33" s="694"/>
    </row>
    <row r="34" spans="1:8" ht="30.75" customHeight="1" thickBot="1">
      <c r="A34" s="695" t="s">
        <v>742</v>
      </c>
      <c r="B34" s="696"/>
      <c r="C34" s="696"/>
      <c r="D34" s="697">
        <f>D14+D32</f>
        <v>111561.84688</v>
      </c>
    </row>
    <row r="35" spans="1:8">
      <c r="B35" s="694"/>
    </row>
    <row r="37" spans="1:8">
      <c r="A37" s="698" t="s">
        <v>719</v>
      </c>
    </row>
    <row r="38" spans="1:8">
      <c r="A38" s="698" t="s">
        <v>720</v>
      </c>
    </row>
    <row r="43" spans="1:8">
      <c r="B43" s="698"/>
      <c r="C43" s="698"/>
      <c r="D43" s="698"/>
      <c r="E43" s="698"/>
      <c r="F43" s="698"/>
      <c r="G43" s="698"/>
    </row>
    <row r="44" spans="1:8">
      <c r="B44" s="698" t="s">
        <v>721</v>
      </c>
      <c r="C44" s="698"/>
      <c r="D44" s="698"/>
      <c r="E44" s="698"/>
      <c r="F44" s="698"/>
      <c r="G44" s="698"/>
    </row>
    <row r="45" spans="1:8" ht="90">
      <c r="B45" s="699"/>
      <c r="C45" s="699"/>
      <c r="D45" s="699"/>
      <c r="E45" s="700" t="s">
        <v>722</v>
      </c>
      <c r="F45" s="700" t="s">
        <v>280</v>
      </c>
      <c r="G45" s="700" t="s">
        <v>723</v>
      </c>
      <c r="H45" s="700" t="s">
        <v>724</v>
      </c>
    </row>
    <row r="46" spans="1:8">
      <c r="B46" s="701" t="s">
        <v>725</v>
      </c>
      <c r="C46" s="701"/>
      <c r="D46" s="701"/>
      <c r="E46" s="702">
        <f>B30</f>
        <v>37489.578000000001</v>
      </c>
      <c r="F46" s="703">
        <v>100</v>
      </c>
      <c r="G46" s="703">
        <v>10418.174999999999</v>
      </c>
      <c r="H46" s="703">
        <f>E46-G46</f>
        <v>27071.403000000002</v>
      </c>
    </row>
    <row r="47" spans="1:8">
      <c r="B47" s="701" t="s">
        <v>726</v>
      </c>
      <c r="C47" s="701"/>
      <c r="D47" s="701"/>
      <c r="E47" s="702">
        <v>26086.42</v>
      </c>
      <c r="F47" s="703">
        <v>50</v>
      </c>
      <c r="G47" s="703">
        <f>G46/2</f>
        <v>5209.0874999999996</v>
      </c>
      <c r="H47" s="703">
        <f t="shared" ref="H47:H48" si="0">E47-G47</f>
        <v>20877.332499999997</v>
      </c>
    </row>
    <row r="48" spans="1:8">
      <c r="B48" s="701" t="s">
        <v>727</v>
      </c>
      <c r="C48" s="701"/>
      <c r="D48" s="701"/>
      <c r="E48" s="702">
        <v>26086.42</v>
      </c>
      <c r="F48" s="703">
        <v>50</v>
      </c>
      <c r="G48" s="703">
        <f>G46/2</f>
        <v>5209.0874999999996</v>
      </c>
      <c r="H48" s="703">
        <f t="shared" si="0"/>
        <v>20877.332499999997</v>
      </c>
    </row>
    <row r="49" spans="2:7">
      <c r="B49" s="699"/>
      <c r="C49" s="699"/>
      <c r="D49" s="699"/>
      <c r="E49" s="703"/>
      <c r="F49" s="703"/>
      <c r="G49" s="703"/>
    </row>
    <row r="50" spans="2:7">
      <c r="B50" s="698"/>
      <c r="C50" s="698"/>
      <c r="D50" s="698"/>
      <c r="E50" s="698"/>
      <c r="F50" s="698"/>
      <c r="G50" s="698"/>
    </row>
    <row r="51" spans="2:7">
      <c r="B51" s="698"/>
      <c r="C51" s="698"/>
      <c r="D51" s="698"/>
      <c r="E51" s="698"/>
      <c r="F51" s="698"/>
      <c r="G51" s="698"/>
    </row>
    <row r="52" spans="2:7">
      <c r="B52" s="698"/>
      <c r="C52" s="698"/>
      <c r="D52" s="698"/>
      <c r="E52" s="698"/>
      <c r="F52" s="698"/>
      <c r="G52" s="698"/>
    </row>
    <row r="53" spans="2:7">
      <c r="B53" s="698"/>
      <c r="C53" s="698"/>
      <c r="D53" s="698"/>
      <c r="E53" s="698"/>
      <c r="F53" s="698"/>
      <c r="G53" s="698"/>
    </row>
    <row r="54" spans="2:7">
      <c r="B54" s="698"/>
      <c r="C54" s="698"/>
      <c r="D54" s="698"/>
      <c r="E54" s="698"/>
      <c r="F54" s="698"/>
      <c r="G54" s="698"/>
    </row>
    <row r="55" spans="2:7">
      <c r="B55" s="698"/>
      <c r="C55" s="698"/>
      <c r="D55" s="698"/>
      <c r="E55" s="698"/>
      <c r="F55" s="698"/>
      <c r="G55" s="698"/>
    </row>
    <row r="56" spans="2:7">
      <c r="B56" s="698"/>
      <c r="C56" s="698"/>
      <c r="D56" s="698"/>
      <c r="E56" s="698"/>
      <c r="F56" s="698"/>
      <c r="G56" s="698"/>
    </row>
    <row r="57" spans="2:7">
      <c r="B57" s="698"/>
      <c r="C57" s="698"/>
      <c r="D57" s="698"/>
      <c r="E57" s="698"/>
      <c r="F57" s="698"/>
      <c r="G57" s="698"/>
    </row>
    <row r="58" spans="2:7">
      <c r="B58" s="698"/>
      <c r="C58" s="698"/>
      <c r="D58" s="698"/>
      <c r="E58" s="698"/>
      <c r="F58" s="698"/>
      <c r="G58" s="698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0"/>
  <sheetViews>
    <sheetView topLeftCell="A4" workbookViewId="0">
      <selection activeCell="H7" sqref="H7"/>
    </sheetView>
  </sheetViews>
  <sheetFormatPr defaultRowHeight="15"/>
  <cols>
    <col min="1" max="1" width="34.28515625" style="658" customWidth="1"/>
    <col min="2" max="2" width="16.28515625" style="658" customWidth="1"/>
    <col min="3" max="3" width="14.42578125" style="658" customWidth="1"/>
    <col min="4" max="4" width="16.28515625" style="658" customWidth="1"/>
    <col min="5" max="5" width="13.42578125" style="658" customWidth="1"/>
    <col min="6" max="7" width="16" style="658" customWidth="1"/>
    <col min="8" max="8" width="14" style="658" customWidth="1"/>
    <col min="9" max="9" width="13.140625" style="658" customWidth="1"/>
    <col min="10" max="10" width="12.85546875" style="658" customWidth="1"/>
    <col min="11" max="16384" width="9.140625" style="658"/>
  </cols>
  <sheetData>
    <row r="3" spans="1:10" ht="18.75">
      <c r="A3" s="709" t="s">
        <v>743</v>
      </c>
      <c r="B3" s="709"/>
      <c r="C3" s="709"/>
      <c r="D3" s="709"/>
      <c r="E3" s="709"/>
      <c r="F3" s="710"/>
      <c r="G3" s="710"/>
      <c r="H3" s="710"/>
      <c r="I3" s="711"/>
    </row>
    <row r="4" spans="1:10" ht="18.75">
      <c r="A4" s="709" t="s">
        <v>744</v>
      </c>
      <c r="B4" s="709"/>
      <c r="C4" s="709"/>
      <c r="D4" s="709"/>
      <c r="E4" s="709"/>
      <c r="F4" s="710"/>
      <c r="G4" s="710"/>
      <c r="H4" s="710"/>
      <c r="I4" s="711"/>
    </row>
    <row r="5" spans="1:10" ht="18.75">
      <c r="A5" s="709" t="s">
        <v>745</v>
      </c>
      <c r="B5" s="709"/>
      <c r="C5" s="709"/>
      <c r="D5" s="709"/>
      <c r="E5" s="709"/>
      <c r="F5" s="710"/>
      <c r="G5" s="710"/>
      <c r="H5" s="710"/>
      <c r="I5" s="711"/>
    </row>
    <row r="6" spans="1:10" ht="18.75">
      <c r="A6" s="711"/>
      <c r="B6" s="711"/>
      <c r="C6" s="711"/>
      <c r="D6" s="711"/>
      <c r="E6" s="711"/>
      <c r="F6" s="711"/>
      <c r="G6" s="3577" t="s">
        <v>1216</v>
      </c>
      <c r="H6" s="3577"/>
      <c r="I6" s="3577"/>
      <c r="J6" s="3577"/>
    </row>
    <row r="7" spans="1:10" ht="81.75">
      <c r="A7" s="712"/>
      <c r="B7" s="713" t="s">
        <v>746</v>
      </c>
      <c r="C7" s="713" t="s">
        <v>747</v>
      </c>
      <c r="D7" s="713" t="s">
        <v>748</v>
      </c>
      <c r="E7" s="713" t="s">
        <v>1309</v>
      </c>
      <c r="F7" s="1579" t="s">
        <v>1214</v>
      </c>
      <c r="G7" s="1579" t="s">
        <v>1215</v>
      </c>
      <c r="H7" s="713" t="s">
        <v>1211</v>
      </c>
      <c r="I7" s="713" t="s">
        <v>1212</v>
      </c>
      <c r="J7" s="713" t="s">
        <v>1213</v>
      </c>
    </row>
    <row r="8" spans="1:10" ht="18.75">
      <c r="A8" s="712" t="s">
        <v>749</v>
      </c>
      <c r="B8" s="712"/>
      <c r="C8" s="712"/>
      <c r="D8" s="712"/>
      <c r="E8" s="712"/>
      <c r="F8" s="712"/>
      <c r="G8" s="712"/>
      <c r="H8" s="1580"/>
      <c r="I8" s="1580"/>
      <c r="J8" s="704"/>
    </row>
    <row r="9" spans="1:10" ht="31.5">
      <c r="A9" s="713" t="s">
        <v>750</v>
      </c>
      <c r="B9" s="667">
        <v>372027579.29000002</v>
      </c>
      <c r="C9" s="714">
        <f>B9/B11</f>
        <v>0.7489426524744941</v>
      </c>
      <c r="D9" s="667">
        <f>D11*0.75</f>
        <v>362190067.5</v>
      </c>
      <c r="E9" s="715">
        <f>B9/100*2</f>
        <v>7440551.5858000005</v>
      </c>
      <c r="F9" s="667">
        <v>391246100</v>
      </c>
      <c r="G9" s="667">
        <f>F9/100*2</f>
        <v>7824922</v>
      </c>
      <c r="H9" s="667">
        <f>G9*1.045</f>
        <v>8177043.4899999993</v>
      </c>
      <c r="I9" s="667">
        <f>H9*1.043</f>
        <v>8528656.3600699995</v>
      </c>
      <c r="J9" s="667">
        <f>I9*1.043</f>
        <v>8895388.5835530087</v>
      </c>
    </row>
    <row r="10" spans="1:10" ht="15.75">
      <c r="A10" s="713" t="s">
        <v>751</v>
      </c>
      <c r="B10" s="667">
        <v>124709491.38</v>
      </c>
      <c r="C10" s="714">
        <f>B10/B11</f>
        <v>0.25105734752550596</v>
      </c>
      <c r="D10" s="667">
        <f>D11*0.25</f>
        <v>120730022.5</v>
      </c>
      <c r="E10" s="667"/>
      <c r="F10" s="667"/>
      <c r="G10" s="667"/>
      <c r="H10" s="667"/>
      <c r="I10" s="667"/>
      <c r="J10" s="667"/>
    </row>
    <row r="11" spans="1:10" ht="15.75">
      <c r="A11" s="716" t="s">
        <v>752</v>
      </c>
      <c r="B11" s="715">
        <f>SUM(B9:B10)</f>
        <v>496737070.67000002</v>
      </c>
      <c r="C11" s="717">
        <f>C9+C10</f>
        <v>1</v>
      </c>
      <c r="D11" s="715">
        <v>482920090</v>
      </c>
      <c r="E11" s="715"/>
      <c r="F11" s="667"/>
      <c r="G11" s="667"/>
      <c r="H11" s="667"/>
      <c r="I11" s="667"/>
      <c r="J11" s="667"/>
    </row>
    <row r="12" spans="1:10" ht="15.75">
      <c r="A12" s="712" t="s">
        <v>753</v>
      </c>
      <c r="B12" s="712"/>
      <c r="C12" s="712"/>
      <c r="D12" s="712"/>
      <c r="E12" s="712"/>
      <c r="F12" s="667"/>
      <c r="G12" s="667"/>
      <c r="H12" s="667"/>
      <c r="I12" s="667"/>
      <c r="J12" s="667"/>
    </row>
    <row r="13" spans="1:10" ht="31.5">
      <c r="A13" s="713" t="s">
        <v>750</v>
      </c>
      <c r="B13" s="667">
        <v>155000053.59</v>
      </c>
      <c r="C13" s="714">
        <f>B13/B15</f>
        <v>0.75266032319618381</v>
      </c>
      <c r="D13" s="667">
        <f>D15*0.75</f>
        <v>149478435</v>
      </c>
      <c r="E13" s="715">
        <f>B13/100*2</f>
        <v>3100001.0718</v>
      </c>
      <c r="F13" s="667">
        <v>158241800</v>
      </c>
      <c r="G13" s="667">
        <f>F13/100*2</f>
        <v>3164836</v>
      </c>
      <c r="H13" s="667">
        <f>G13*1.045</f>
        <v>3307253.6199999996</v>
      </c>
      <c r="I13" s="667">
        <f>H13*1.043</f>
        <v>3449465.5256599993</v>
      </c>
      <c r="J13" s="667">
        <f>I13*1.043</f>
        <v>3597792.543263379</v>
      </c>
    </row>
    <row r="14" spans="1:10" ht="15.75">
      <c r="A14" s="713" t="s">
        <v>751</v>
      </c>
      <c r="B14" s="667">
        <v>50936208.509999998</v>
      </c>
      <c r="C14" s="714">
        <f>B14/B15</f>
        <v>0.24733967680381627</v>
      </c>
      <c r="D14" s="667">
        <f>D15*0.25</f>
        <v>49826145</v>
      </c>
      <c r="E14" s="667"/>
      <c r="F14" s="667"/>
      <c r="G14" s="667"/>
      <c r="H14" s="667"/>
      <c r="I14" s="667"/>
      <c r="J14" s="667"/>
    </row>
    <row r="15" spans="1:10" ht="15.75">
      <c r="A15" s="716" t="s">
        <v>752</v>
      </c>
      <c r="B15" s="715">
        <f>SUM(B13:B14)</f>
        <v>205936262.09999999</v>
      </c>
      <c r="C15" s="717">
        <f>C13+C14</f>
        <v>1</v>
      </c>
      <c r="D15" s="715">
        <v>199304580</v>
      </c>
      <c r="E15" s="715"/>
      <c r="F15" s="667"/>
      <c r="G15" s="667"/>
      <c r="H15" s="667"/>
      <c r="I15" s="667"/>
      <c r="J15" s="667"/>
    </row>
    <row r="16" spans="1:10" ht="18.75">
      <c r="A16" s="710"/>
      <c r="B16" s="710"/>
      <c r="C16" s="710"/>
      <c r="D16" s="710"/>
      <c r="E16" s="710"/>
      <c r="F16" s="710"/>
      <c r="G16" s="710"/>
      <c r="H16" s="711"/>
      <c r="I16" s="711"/>
    </row>
    <row r="17" spans="1:9" ht="18.75">
      <c r="A17" s="698" t="s">
        <v>754</v>
      </c>
      <c r="B17" s="711"/>
      <c r="C17" s="711"/>
      <c r="D17" s="711"/>
      <c r="E17" s="711"/>
      <c r="F17" s="711"/>
      <c r="G17" s="711"/>
      <c r="H17" s="711"/>
      <c r="I17" s="711"/>
    </row>
    <row r="18" spans="1:9" ht="18.75">
      <c r="A18" s="698" t="s">
        <v>755</v>
      </c>
      <c r="B18" s="711"/>
      <c r="C18" s="711"/>
      <c r="D18" s="711"/>
      <c r="E18" s="711"/>
      <c r="F18" s="711"/>
      <c r="G18" s="711"/>
      <c r="H18" s="711"/>
      <c r="I18" s="711"/>
    </row>
    <row r="19" spans="1:9" ht="18.75">
      <c r="A19" s="711"/>
      <c r="B19" s="711"/>
      <c r="C19" s="711"/>
      <c r="D19" s="711"/>
      <c r="E19" s="711"/>
      <c r="F19" s="711"/>
      <c r="G19" s="711"/>
      <c r="H19" s="711"/>
      <c r="I19" s="711"/>
    </row>
    <row r="20" spans="1:9" ht="18.75">
      <c r="A20" s="711"/>
      <c r="B20" s="711"/>
      <c r="C20" s="711"/>
      <c r="D20" s="711"/>
      <c r="E20" s="711"/>
      <c r="F20" s="711"/>
      <c r="G20" s="711"/>
      <c r="H20" s="711"/>
      <c r="I20" s="711"/>
    </row>
    <row r="21" spans="1:9" ht="18.75">
      <c r="A21" s="711"/>
      <c r="B21" s="711"/>
      <c r="C21" s="711"/>
      <c r="D21" s="711"/>
      <c r="E21" s="711"/>
      <c r="F21" s="711"/>
      <c r="G21" s="711"/>
      <c r="H21" s="711"/>
      <c r="I21" s="711"/>
    </row>
    <row r="22" spans="1:9" ht="18.75">
      <c r="A22" s="711"/>
      <c r="B22" s="711"/>
      <c r="C22" s="711"/>
      <c r="D22" s="711"/>
      <c r="E22" s="711"/>
      <c r="F22" s="711"/>
      <c r="G22" s="711"/>
      <c r="H22" s="711"/>
      <c r="I22" s="711"/>
    </row>
    <row r="23" spans="1:9" ht="18.75">
      <c r="A23" s="711"/>
      <c r="B23" s="711"/>
      <c r="C23" s="711"/>
      <c r="D23" s="711"/>
      <c r="E23" s="711"/>
      <c r="F23" s="711"/>
      <c r="G23" s="711"/>
      <c r="H23" s="711"/>
      <c r="I23" s="711"/>
    </row>
    <row r="24" spans="1:9" ht="18.75">
      <c r="A24" s="711"/>
      <c r="B24" s="711"/>
      <c r="C24" s="711"/>
      <c r="D24" s="711"/>
      <c r="E24" s="711"/>
      <c r="F24" s="711"/>
      <c r="G24" s="711"/>
      <c r="H24" s="711"/>
      <c r="I24" s="711"/>
    </row>
    <row r="25" spans="1:9" ht="18.75">
      <c r="A25" s="711"/>
      <c r="B25" s="711"/>
      <c r="C25" s="711"/>
      <c r="D25" s="711"/>
      <c r="E25" s="711"/>
      <c r="F25" s="711"/>
      <c r="G25" s="711"/>
      <c r="H25" s="711"/>
      <c r="I25" s="711"/>
    </row>
    <row r="26" spans="1:9" ht="18.75">
      <c r="A26" s="711"/>
      <c r="B26" s="711"/>
      <c r="C26" s="711"/>
      <c r="D26" s="711"/>
      <c r="E26" s="711"/>
      <c r="F26" s="711"/>
      <c r="G26" s="711"/>
      <c r="H26" s="711"/>
      <c r="I26" s="711"/>
    </row>
    <row r="27" spans="1:9" ht="18.75">
      <c r="A27" s="711"/>
      <c r="B27" s="711"/>
      <c r="C27" s="711"/>
      <c r="D27" s="711"/>
      <c r="E27" s="711"/>
      <c r="F27" s="711"/>
      <c r="G27" s="711"/>
      <c r="H27" s="711"/>
      <c r="I27" s="711"/>
    </row>
    <row r="28" spans="1:9" ht="18.75">
      <c r="A28" s="711"/>
      <c r="B28" s="711"/>
      <c r="C28" s="711"/>
      <c r="D28" s="711"/>
      <c r="E28" s="711"/>
      <c r="F28" s="711"/>
      <c r="G28" s="711"/>
      <c r="H28" s="711"/>
      <c r="I28" s="711"/>
    </row>
    <row r="29" spans="1:9" ht="18.75">
      <c r="A29" s="711"/>
      <c r="B29" s="711"/>
      <c r="C29" s="711"/>
      <c r="D29" s="711"/>
      <c r="E29" s="711"/>
      <c r="F29" s="711"/>
      <c r="G29" s="711"/>
      <c r="H29" s="711"/>
      <c r="I29" s="711"/>
    </row>
    <row r="30" spans="1:9" ht="18.75">
      <c r="A30" s="711"/>
      <c r="B30" s="711"/>
      <c r="C30" s="711"/>
      <c r="D30" s="711"/>
      <c r="E30" s="711"/>
      <c r="F30" s="711"/>
      <c r="G30" s="711"/>
      <c r="H30" s="711"/>
      <c r="I30" s="711"/>
    </row>
  </sheetData>
  <mergeCells count="1">
    <mergeCell ref="G6:J6"/>
  </mergeCells>
  <pageMargins left="0.51181102362204722" right="0.51181102362204722" top="0.74803149606299213" bottom="0.74803149606299213" header="0.31496062992125984" footer="0.31496062992125984"/>
  <pageSetup paperSize="9" scale="7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15"/>
  <sheetViews>
    <sheetView topLeftCell="A77" zoomScale="80" zoomScaleNormal="80" workbookViewId="0">
      <selection activeCell="J91" sqref="J91"/>
    </sheetView>
  </sheetViews>
  <sheetFormatPr defaultRowHeight="15"/>
  <cols>
    <col min="1" max="1" width="25.7109375" style="658" customWidth="1"/>
    <col min="2" max="2" width="18.140625" style="658" customWidth="1"/>
    <col min="3" max="3" width="15.7109375" style="658" customWidth="1"/>
    <col min="4" max="4" width="17.28515625" style="658" customWidth="1"/>
    <col min="5" max="5" width="18.28515625" style="658" customWidth="1"/>
    <col min="6" max="6" width="19" style="658" customWidth="1"/>
    <col min="7" max="7" width="19.42578125" style="658" customWidth="1"/>
    <col min="8" max="8" width="27.7109375" style="658" customWidth="1"/>
    <col min="9" max="9" width="23.28515625" style="658" customWidth="1"/>
    <col min="10" max="10" width="16.5703125" style="658" customWidth="1"/>
    <col min="11" max="11" width="16.140625" style="658" customWidth="1"/>
    <col min="12" max="12" width="15.7109375" style="658" customWidth="1"/>
    <col min="13" max="13" width="16.42578125" style="658" customWidth="1"/>
    <col min="14" max="14" width="9.140625" style="658" customWidth="1"/>
    <col min="15" max="15" width="15.140625" style="658" customWidth="1"/>
    <col min="16" max="16" width="12.42578125" style="658" customWidth="1"/>
    <col min="17" max="16384" width="9.140625" style="658"/>
  </cols>
  <sheetData>
    <row r="2" spans="1:16" ht="15.75">
      <c r="A2"/>
      <c r="B2" s="3611" t="s">
        <v>1104</v>
      </c>
      <c r="C2" s="3611"/>
      <c r="D2" s="3611"/>
      <c r="E2" s="3611"/>
      <c r="F2" s="3611"/>
      <c r="G2" s="3611"/>
      <c r="H2" s="3611"/>
    </row>
    <row r="3" spans="1:16" ht="15.75" thickBot="1">
      <c r="A3"/>
      <c r="B3"/>
      <c r="C3"/>
      <c r="D3"/>
      <c r="E3"/>
      <c r="F3"/>
      <c r="G3"/>
      <c r="H3"/>
    </row>
    <row r="4" spans="1:16" ht="45.75" thickBot="1">
      <c r="A4" s="1418" t="s">
        <v>758</v>
      </c>
      <c r="B4" s="1419" t="s">
        <v>759</v>
      </c>
      <c r="C4" s="1419" t="s">
        <v>760</v>
      </c>
      <c r="D4" s="1419" t="s">
        <v>761</v>
      </c>
      <c r="E4" s="1419" t="s">
        <v>762</v>
      </c>
      <c r="F4" s="1419" t="s">
        <v>763</v>
      </c>
      <c r="G4" s="1419" t="s">
        <v>764</v>
      </c>
      <c r="H4" s="1419" t="s">
        <v>765</v>
      </c>
      <c r="L4" s="1461"/>
      <c r="M4" s="1468" t="s">
        <v>1136</v>
      </c>
      <c r="N4" s="1468" t="s">
        <v>1137</v>
      </c>
      <c r="O4" s="1468" t="s">
        <v>1138</v>
      </c>
      <c r="P4" s="1469" t="s">
        <v>1138</v>
      </c>
    </row>
    <row r="5" spans="1:16" ht="129" customHeight="1" thickBot="1">
      <c r="A5" s="1420" t="s">
        <v>768</v>
      </c>
      <c r="B5" s="1421" t="s">
        <v>769</v>
      </c>
      <c r="C5" s="1422">
        <v>41634</v>
      </c>
      <c r="D5" s="1414">
        <v>100000000</v>
      </c>
      <c r="E5" s="1414">
        <v>100000000</v>
      </c>
      <c r="F5" s="1423" t="s">
        <v>291</v>
      </c>
      <c r="G5" s="1424">
        <v>0.19500000000000001</v>
      </c>
      <c r="H5" s="1421" t="s">
        <v>770</v>
      </c>
      <c r="L5" s="1461" t="s">
        <v>999</v>
      </c>
      <c r="M5" s="1462">
        <v>1134</v>
      </c>
      <c r="N5" s="1462">
        <v>344960.25800000009</v>
      </c>
      <c r="O5" s="1463">
        <v>1</v>
      </c>
      <c r="P5" s="1464"/>
    </row>
    <row r="6" spans="1:16" ht="42.75" customHeight="1">
      <c r="A6" s="1420" t="s">
        <v>768</v>
      </c>
      <c r="B6" s="1421" t="s">
        <v>771</v>
      </c>
      <c r="C6" s="1422">
        <v>41866</v>
      </c>
      <c r="D6" s="1414">
        <v>39493044.740000002</v>
      </c>
      <c r="E6" s="1414">
        <v>21493044.739999998</v>
      </c>
      <c r="F6" s="1423" t="s">
        <v>291</v>
      </c>
      <c r="G6" s="1424">
        <v>0.121</v>
      </c>
      <c r="H6" s="1421" t="s">
        <v>772</v>
      </c>
      <c r="L6" s="1454" t="s">
        <v>1139</v>
      </c>
      <c r="M6" s="1455">
        <v>1015</v>
      </c>
      <c r="N6" s="1455">
        <v>282768.05700000003</v>
      </c>
      <c r="O6" s="1456">
        <v>0.81971198259017986</v>
      </c>
      <c r="P6" s="1465"/>
    </row>
    <row r="7" spans="1:16" ht="44.25" customHeight="1">
      <c r="A7" s="1425" t="s">
        <v>1105</v>
      </c>
      <c r="B7" s="1426" t="s">
        <v>1106</v>
      </c>
      <c r="C7" s="1427">
        <v>41968</v>
      </c>
      <c r="D7" s="1414">
        <v>160000000</v>
      </c>
      <c r="E7" s="725">
        <v>53200000</v>
      </c>
      <c r="F7" s="1423" t="s">
        <v>291</v>
      </c>
      <c r="G7" s="1428">
        <v>0.157</v>
      </c>
      <c r="H7" s="1429" t="s">
        <v>1107</v>
      </c>
      <c r="L7" s="1457" t="s">
        <v>450</v>
      </c>
      <c r="M7" s="704">
        <v>35</v>
      </c>
      <c r="N7" s="704">
        <v>9632.52</v>
      </c>
      <c r="O7" s="1452">
        <v>2.7923564458836873E-2</v>
      </c>
      <c r="P7" s="1466"/>
    </row>
    <row r="8" spans="1:16" ht="46.5" customHeight="1" thickBot="1">
      <c r="A8" s="1425" t="s">
        <v>773</v>
      </c>
      <c r="B8" s="1426" t="s">
        <v>774</v>
      </c>
      <c r="C8" s="1427">
        <v>37242</v>
      </c>
      <c r="D8" s="1430" t="s">
        <v>1108</v>
      </c>
      <c r="E8" s="725">
        <v>104891527.59</v>
      </c>
      <c r="F8" s="1431" t="s">
        <v>291</v>
      </c>
      <c r="G8" s="1428">
        <v>2.3949999999999999E-2</v>
      </c>
      <c r="H8" s="1426" t="s">
        <v>1109</v>
      </c>
      <c r="L8" s="1458" t="s">
        <v>451</v>
      </c>
      <c r="M8" s="1459">
        <v>69</v>
      </c>
      <c r="N8" s="1459">
        <v>41394.6</v>
      </c>
      <c r="O8" s="1460">
        <v>0.1199981709197353</v>
      </c>
      <c r="P8" s="1467"/>
    </row>
    <row r="9" spans="1:16" ht="15" customHeight="1">
      <c r="A9" s="3596" t="s">
        <v>775</v>
      </c>
      <c r="B9" s="3598" t="s">
        <v>776</v>
      </c>
      <c r="C9" s="3600">
        <v>40900</v>
      </c>
      <c r="D9" s="3602" t="s">
        <v>1110</v>
      </c>
      <c r="E9" s="3604">
        <v>321223.95</v>
      </c>
      <c r="F9" s="3612" t="s">
        <v>291</v>
      </c>
      <c r="G9" s="3614">
        <v>0.02</v>
      </c>
      <c r="H9" s="3599" t="s">
        <v>777</v>
      </c>
      <c r="L9" s="1454" t="s">
        <v>1140</v>
      </c>
      <c r="M9" s="1455">
        <v>3</v>
      </c>
      <c r="N9" s="1455">
        <v>1256.9000000000001</v>
      </c>
      <c r="O9" s="1456">
        <v>3.6436081283311187E-3</v>
      </c>
      <c r="P9" s="3606">
        <v>3.2366282031247778E-2</v>
      </c>
    </row>
    <row r="10" spans="1:16" ht="37.5" customHeight="1">
      <c r="A10" s="3597"/>
      <c r="B10" s="3599"/>
      <c r="C10" s="3601"/>
      <c r="D10" s="3603"/>
      <c r="E10" s="3605"/>
      <c r="F10" s="3613"/>
      <c r="G10" s="3615"/>
      <c r="H10" s="3616"/>
      <c r="L10" s="1457" t="s">
        <v>1141</v>
      </c>
      <c r="M10" s="704">
        <v>8</v>
      </c>
      <c r="N10" s="704">
        <v>3482.02</v>
      </c>
      <c r="O10" s="1452">
        <v>1.0093974361533552E-2</v>
      </c>
      <c r="P10" s="3607"/>
    </row>
    <row r="11" spans="1:16" ht="25.5">
      <c r="A11" s="1982" t="s">
        <v>1372</v>
      </c>
      <c r="B11" s="1983" t="s">
        <v>1373</v>
      </c>
      <c r="C11" s="1984">
        <v>42206</v>
      </c>
      <c r="D11" s="1985">
        <v>40000000</v>
      </c>
      <c r="E11" s="1985">
        <v>36506955.259999998</v>
      </c>
      <c r="F11" s="1986" t="s">
        <v>291</v>
      </c>
      <c r="G11" s="1987">
        <v>0.155</v>
      </c>
      <c r="H11" s="1984">
        <v>42571</v>
      </c>
      <c r="I11" s="1977"/>
      <c r="J11" s="1978"/>
      <c r="L11" s="1457" t="s">
        <v>1142</v>
      </c>
      <c r="M11" s="704">
        <v>3</v>
      </c>
      <c r="N11" s="704">
        <v>634.29999999999995</v>
      </c>
      <c r="O11" s="1452">
        <v>1.838762539422729E-3</v>
      </c>
      <c r="P11" s="3607"/>
    </row>
    <row r="12" spans="1:16">
      <c r="I12" s="1979"/>
      <c r="J12" s="1979"/>
      <c r="L12" s="1457" t="s">
        <v>1143</v>
      </c>
      <c r="M12" s="704">
        <v>1</v>
      </c>
      <c r="N12" s="704">
        <v>638.66999999999996</v>
      </c>
      <c r="O12" s="1452">
        <v>1.851430665384068E-3</v>
      </c>
      <c r="P12" s="3607"/>
    </row>
    <row r="13" spans="1:16">
      <c r="I13" s="1979"/>
      <c r="J13" s="1979"/>
      <c r="L13" s="1457" t="s">
        <v>1144</v>
      </c>
      <c r="M13" s="704"/>
      <c r="N13" s="704">
        <v>1133.009</v>
      </c>
      <c r="O13" s="1452">
        <v>3.2844624090001685E-3</v>
      </c>
      <c r="P13" s="3607"/>
    </row>
    <row r="14" spans="1:16">
      <c r="I14" s="1979"/>
      <c r="J14" s="1979"/>
      <c r="L14" s="1457" t="s">
        <v>1145</v>
      </c>
      <c r="M14" s="704"/>
      <c r="N14" s="704">
        <v>1671.3019999999999</v>
      </c>
      <c r="O14" s="1452">
        <v>4.844911728933133E-3</v>
      </c>
      <c r="P14" s="3607"/>
    </row>
    <row r="15" spans="1:16" ht="15.75" thickBot="1">
      <c r="L15" s="1458" t="s">
        <v>1146</v>
      </c>
      <c r="M15" s="1459"/>
      <c r="N15" s="1459">
        <v>2348.88</v>
      </c>
      <c r="O15" s="1460">
        <v>6.809132198643009E-3</v>
      </c>
      <c r="P15" s="3608"/>
    </row>
    <row r="18" spans="1:15">
      <c r="A18" s="3617" t="s">
        <v>954</v>
      </c>
      <c r="B18" s="3617"/>
      <c r="C18" s="3617"/>
      <c r="D18" s="3617"/>
      <c r="E18" s="3617"/>
      <c r="F18" s="3617"/>
      <c r="G18" s="3617"/>
    </row>
    <row r="19" spans="1:15" ht="17.25" customHeight="1">
      <c r="A19" s="3580" t="s">
        <v>1132</v>
      </c>
      <c r="B19" s="3580"/>
      <c r="C19" s="3580"/>
      <c r="D19" s="3580"/>
      <c r="E19" s="3580"/>
      <c r="F19" s="3580"/>
      <c r="G19" s="3580"/>
      <c r="I19" s="3580" t="s">
        <v>1369</v>
      </c>
      <c r="J19" s="3580"/>
      <c r="K19" s="3580"/>
      <c r="L19" s="3580"/>
      <c r="M19" s="3580"/>
      <c r="N19" s="3580"/>
      <c r="O19" s="3580"/>
    </row>
    <row r="20" spans="1:15">
      <c r="I20" s="3580"/>
      <c r="J20" s="3580"/>
      <c r="K20" s="3580"/>
      <c r="L20" s="3580"/>
      <c r="M20" s="3580"/>
      <c r="N20" s="3580"/>
      <c r="O20" s="3580"/>
    </row>
    <row r="21" spans="1:15">
      <c r="A21" s="1432" t="s">
        <v>1111</v>
      </c>
      <c r="B21" s="3584" t="s">
        <v>1112</v>
      </c>
      <c r="C21" s="3584"/>
      <c r="D21" s="3584" t="s">
        <v>1113</v>
      </c>
      <c r="E21" s="3584"/>
      <c r="F21" s="3584" t="s">
        <v>1114</v>
      </c>
      <c r="G21" s="3584"/>
      <c r="I21" s="1975"/>
    </row>
    <row r="22" spans="1:15">
      <c r="A22" s="1432" t="s">
        <v>1115</v>
      </c>
      <c r="B22" s="3584" t="s">
        <v>1116</v>
      </c>
      <c r="C22" s="3584" t="s">
        <v>1117</v>
      </c>
      <c r="D22" s="3584" t="s">
        <v>1116</v>
      </c>
      <c r="E22" s="3584" t="s">
        <v>1117</v>
      </c>
      <c r="F22" s="3584" t="s">
        <v>1116</v>
      </c>
      <c r="G22" s="3584" t="s">
        <v>1117</v>
      </c>
      <c r="I22" s="1963" t="s">
        <v>1111</v>
      </c>
      <c r="J22" s="3584" t="s">
        <v>1112</v>
      </c>
      <c r="K22" s="3584"/>
      <c r="L22" s="3584" t="s">
        <v>1113</v>
      </c>
      <c r="M22" s="3584"/>
      <c r="N22" s="3584" t="s">
        <v>1114</v>
      </c>
      <c r="O22" s="3584"/>
    </row>
    <row r="23" spans="1:15">
      <c r="A23" s="1432" t="s">
        <v>1118</v>
      </c>
      <c r="B23" s="3584"/>
      <c r="C23" s="3584"/>
      <c r="D23" s="3584"/>
      <c r="E23" s="3584"/>
      <c r="F23" s="3584"/>
      <c r="G23" s="3584"/>
      <c r="I23" s="1963" t="s">
        <v>1115</v>
      </c>
      <c r="J23" s="3584" t="s">
        <v>1116</v>
      </c>
      <c r="K23" s="3584" t="s">
        <v>1117</v>
      </c>
      <c r="L23" s="3584" t="s">
        <v>1116</v>
      </c>
      <c r="M23" s="3584" t="s">
        <v>1117</v>
      </c>
      <c r="N23" s="3584" t="s">
        <v>1116</v>
      </c>
      <c r="O23" s="3584" t="s">
        <v>1117</v>
      </c>
    </row>
    <row r="24" spans="1:15">
      <c r="A24" s="1433">
        <v>67</v>
      </c>
      <c r="B24" s="1434"/>
      <c r="C24" s="1435">
        <v>225528770.93000001</v>
      </c>
      <c r="D24" s="1435">
        <v>260551622.16999999</v>
      </c>
      <c r="E24" s="1435">
        <v>276126029.38999999</v>
      </c>
      <c r="F24" s="1434"/>
      <c r="G24" s="1435">
        <v>241103178.15000001</v>
      </c>
      <c r="I24" s="1963" t="s">
        <v>1118</v>
      </c>
      <c r="J24" s="3584"/>
      <c r="K24" s="3584"/>
      <c r="L24" s="3584"/>
      <c r="M24" s="3584"/>
      <c r="N24" s="3584"/>
      <c r="O24" s="3584"/>
    </row>
    <row r="25" spans="1:15">
      <c r="A25" s="1436" t="s">
        <v>1119</v>
      </c>
      <c r="B25" s="1434"/>
      <c r="C25" s="1435">
        <v>54800000</v>
      </c>
      <c r="D25" s="1435">
        <v>63800000</v>
      </c>
      <c r="E25" s="1435">
        <v>164493043.74000001</v>
      </c>
      <c r="F25" s="1434"/>
      <c r="G25" s="1435">
        <v>155493043.74000001</v>
      </c>
      <c r="I25" s="1433">
        <v>67</v>
      </c>
      <c r="J25" s="1434"/>
      <c r="K25" s="1435">
        <v>241103178.15000001</v>
      </c>
      <c r="L25" s="1435">
        <v>153013548.47</v>
      </c>
      <c r="M25" s="1435">
        <v>195983972.53999999</v>
      </c>
      <c r="N25" s="1434"/>
      <c r="O25" s="1435">
        <v>284073602.22000003</v>
      </c>
    </row>
    <row r="26" spans="1:15">
      <c r="A26" s="1437" t="s">
        <v>768</v>
      </c>
      <c r="B26" s="1438"/>
      <c r="C26" s="1438"/>
      <c r="D26" s="1439">
        <v>9000000</v>
      </c>
      <c r="E26" s="1439">
        <v>139493044.74000001</v>
      </c>
      <c r="F26" s="1438"/>
      <c r="G26" s="1439">
        <v>130493044.73999999</v>
      </c>
      <c r="I26" s="1436" t="s">
        <v>1119</v>
      </c>
      <c r="J26" s="1434"/>
      <c r="K26" s="1435">
        <v>155493043.74000001</v>
      </c>
      <c r="L26" s="1435">
        <v>113050000</v>
      </c>
      <c r="M26" s="1435">
        <v>156300001</v>
      </c>
      <c r="N26" s="1434"/>
      <c r="O26" s="1435">
        <v>198743044.74000001</v>
      </c>
    </row>
    <row r="27" spans="1:15" ht="24">
      <c r="A27" s="1440" t="s">
        <v>1120</v>
      </c>
      <c r="B27" s="1441"/>
      <c r="C27" s="1441"/>
      <c r="D27" s="1441"/>
      <c r="E27" s="1442">
        <v>100000000</v>
      </c>
      <c r="F27" s="1441"/>
      <c r="G27" s="1442">
        <v>100000000</v>
      </c>
      <c r="I27" s="1437" t="s">
        <v>768</v>
      </c>
      <c r="J27" s="1438"/>
      <c r="K27" s="1439">
        <v>130493044.73999999</v>
      </c>
      <c r="L27" s="1439">
        <v>113050000</v>
      </c>
      <c r="M27" s="1439">
        <v>86050000</v>
      </c>
      <c r="N27" s="1438"/>
      <c r="O27" s="1439">
        <v>103493044.73999999</v>
      </c>
    </row>
    <row r="28" spans="1:15" ht="24">
      <c r="A28" s="1440" t="s">
        <v>1121</v>
      </c>
      <c r="B28" s="1441"/>
      <c r="C28" s="1441"/>
      <c r="D28" s="1442">
        <v>9000000</v>
      </c>
      <c r="E28" s="1442">
        <v>39493044.740000002</v>
      </c>
      <c r="F28" s="1441"/>
      <c r="G28" s="1442">
        <v>30493044.739999998</v>
      </c>
      <c r="I28" s="1440" t="s">
        <v>1120</v>
      </c>
      <c r="J28" s="1441"/>
      <c r="K28" s="1442">
        <v>100000000</v>
      </c>
      <c r="L28" s="1442">
        <v>86050000</v>
      </c>
      <c r="M28" s="1442">
        <v>86050000</v>
      </c>
      <c r="N28" s="1441"/>
      <c r="O28" s="1442">
        <v>100000000</v>
      </c>
    </row>
    <row r="29" spans="1:15" ht="24">
      <c r="A29" s="1437" t="s">
        <v>1122</v>
      </c>
      <c r="B29" s="1438"/>
      <c r="C29" s="1439">
        <v>54800000</v>
      </c>
      <c r="D29" s="1439">
        <v>54800000</v>
      </c>
      <c r="E29" s="1438"/>
      <c r="F29" s="1438"/>
      <c r="G29" s="1438"/>
      <c r="I29" s="1440" t="s">
        <v>1121</v>
      </c>
      <c r="J29" s="1441"/>
      <c r="K29" s="1442">
        <v>30493044.739999998</v>
      </c>
      <c r="L29" s="1442">
        <v>27000000</v>
      </c>
      <c r="M29" s="1441"/>
      <c r="N29" s="1441"/>
      <c r="O29" s="1442">
        <v>3493044.74</v>
      </c>
    </row>
    <row r="30" spans="1:15" ht="24">
      <c r="A30" s="1440" t="s">
        <v>1123</v>
      </c>
      <c r="B30" s="1441"/>
      <c r="C30" s="1442">
        <v>38300000</v>
      </c>
      <c r="D30" s="1442">
        <v>38300000</v>
      </c>
      <c r="E30" s="1441"/>
      <c r="F30" s="1441"/>
      <c r="G30" s="1441"/>
      <c r="I30" s="1437" t="s">
        <v>1105</v>
      </c>
      <c r="J30" s="1438"/>
      <c r="K30" s="1439">
        <v>24999999</v>
      </c>
      <c r="L30" s="1438"/>
      <c r="M30" s="1439">
        <v>70250001</v>
      </c>
      <c r="N30" s="1438"/>
      <c r="O30" s="1439">
        <v>95250000</v>
      </c>
    </row>
    <row r="31" spans="1:15" ht="24">
      <c r="A31" s="1440" t="s">
        <v>1124</v>
      </c>
      <c r="B31" s="1441"/>
      <c r="C31" s="1442">
        <v>16500000</v>
      </c>
      <c r="D31" s="1442">
        <v>16500000</v>
      </c>
      <c r="E31" s="1441"/>
      <c r="F31" s="1441"/>
      <c r="G31" s="1441"/>
      <c r="I31" s="1440" t="s">
        <v>1125</v>
      </c>
      <c r="J31" s="1441"/>
      <c r="K31" s="1442">
        <v>24999999</v>
      </c>
      <c r="L31" s="1441"/>
      <c r="M31" s="1442">
        <v>70250001</v>
      </c>
      <c r="N31" s="1441"/>
      <c r="O31" s="1442">
        <v>95250000</v>
      </c>
    </row>
    <row r="32" spans="1:15" ht="24">
      <c r="A32" s="1437" t="s">
        <v>1105</v>
      </c>
      <c r="B32" s="1438"/>
      <c r="C32" s="1438"/>
      <c r="D32" s="1438"/>
      <c r="E32" s="1439">
        <v>24999999</v>
      </c>
      <c r="F32" s="1438"/>
      <c r="G32" s="1439">
        <v>24999999</v>
      </c>
      <c r="I32" s="1436" t="s">
        <v>1126</v>
      </c>
      <c r="J32" s="1434"/>
      <c r="K32" s="1434"/>
      <c r="L32" s="1435">
        <v>13665565.9</v>
      </c>
      <c r="M32" s="1435">
        <v>13665565.9</v>
      </c>
      <c r="N32" s="1434"/>
      <c r="O32" s="1434"/>
    </row>
    <row r="33" spans="1:15" ht="24">
      <c r="A33" s="1440" t="s">
        <v>1125</v>
      </c>
      <c r="B33" s="1441"/>
      <c r="C33" s="1441"/>
      <c r="D33" s="1441"/>
      <c r="E33" s="1442">
        <v>24999999</v>
      </c>
      <c r="F33" s="1441"/>
      <c r="G33" s="1442">
        <v>24999999</v>
      </c>
      <c r="I33" s="1437" t="s">
        <v>768</v>
      </c>
      <c r="J33" s="1438"/>
      <c r="K33" s="1438"/>
      <c r="L33" s="1439">
        <v>9166706.3200000003</v>
      </c>
      <c r="M33" s="1439">
        <v>9166706.3200000003</v>
      </c>
      <c r="N33" s="1438"/>
      <c r="O33" s="1438"/>
    </row>
    <row r="34" spans="1:15" ht="24">
      <c r="A34" s="1436" t="s">
        <v>1126</v>
      </c>
      <c r="B34" s="1434"/>
      <c r="C34" s="1434"/>
      <c r="D34" s="1435">
        <v>11556623.34</v>
      </c>
      <c r="E34" s="1435">
        <v>11556623.34</v>
      </c>
      <c r="F34" s="1434"/>
      <c r="G34" s="1434"/>
      <c r="I34" s="1440" t="s">
        <v>1120</v>
      </c>
      <c r="J34" s="1441"/>
      <c r="K34" s="1441"/>
      <c r="L34" s="1442">
        <v>8021767.4900000002</v>
      </c>
      <c r="M34" s="1442">
        <v>8021767.4900000002</v>
      </c>
      <c r="N34" s="1441"/>
      <c r="O34" s="1441"/>
    </row>
    <row r="35" spans="1:15" ht="24">
      <c r="A35" s="1437" t="s">
        <v>768</v>
      </c>
      <c r="B35" s="1438"/>
      <c r="C35" s="1438"/>
      <c r="D35" s="1439">
        <v>8826675</v>
      </c>
      <c r="E35" s="1439">
        <v>8826675</v>
      </c>
      <c r="F35" s="1438"/>
      <c r="G35" s="1438"/>
      <c r="I35" s="1440" t="s">
        <v>1121</v>
      </c>
      <c r="J35" s="1441"/>
      <c r="K35" s="1441"/>
      <c r="L35" s="1442">
        <v>1144938.83</v>
      </c>
      <c r="M35" s="1442">
        <v>1144938.83</v>
      </c>
      <c r="N35" s="1441"/>
      <c r="O35" s="1441"/>
    </row>
    <row r="36" spans="1:15" ht="24">
      <c r="A36" s="1440" t="s">
        <v>1120</v>
      </c>
      <c r="B36" s="1441"/>
      <c r="C36" s="1441"/>
      <c r="D36" s="1442">
        <v>7111438.3399999999</v>
      </c>
      <c r="E36" s="1442">
        <v>7111438.3399999999</v>
      </c>
      <c r="F36" s="1441"/>
      <c r="G36" s="1441"/>
      <c r="I36" s="1437" t="s">
        <v>1105</v>
      </c>
      <c r="J36" s="1438"/>
      <c r="K36" s="1438"/>
      <c r="L36" s="1439">
        <v>4498859.58</v>
      </c>
      <c r="M36" s="1439">
        <v>4498859.58</v>
      </c>
      <c r="N36" s="1438"/>
      <c r="O36" s="1438"/>
    </row>
    <row r="37" spans="1:15" ht="24">
      <c r="A37" s="1440" t="s">
        <v>1121</v>
      </c>
      <c r="B37" s="1441"/>
      <c r="C37" s="1441"/>
      <c r="D37" s="1442">
        <v>1715236.66</v>
      </c>
      <c r="E37" s="1442">
        <v>1715236.66</v>
      </c>
      <c r="F37" s="1441"/>
      <c r="G37" s="1441"/>
      <c r="I37" s="1440" t="s">
        <v>1125</v>
      </c>
      <c r="J37" s="1441"/>
      <c r="K37" s="1441"/>
      <c r="L37" s="1442">
        <v>4498859.58</v>
      </c>
      <c r="M37" s="1442">
        <v>4498859.58</v>
      </c>
      <c r="N37" s="1441"/>
      <c r="O37" s="1441"/>
    </row>
    <row r="38" spans="1:15">
      <c r="A38" s="1437" t="s">
        <v>1122</v>
      </c>
      <c r="B38" s="1438"/>
      <c r="C38" s="1438"/>
      <c r="D38" s="1439">
        <v>2603007.5</v>
      </c>
      <c r="E38" s="1439">
        <v>2603007.5</v>
      </c>
      <c r="F38" s="1438"/>
      <c r="G38" s="1438"/>
      <c r="I38" s="1436" t="s">
        <v>1127</v>
      </c>
      <c r="J38" s="1434"/>
      <c r="K38" s="1435">
        <v>85610134.409999996</v>
      </c>
      <c r="L38" s="1435">
        <v>26213637.379999999</v>
      </c>
      <c r="M38" s="1435">
        <v>25096078.359999999</v>
      </c>
      <c r="N38" s="1434"/>
      <c r="O38" s="1435">
        <v>84492575.390000001</v>
      </c>
    </row>
    <row r="39" spans="1:15" ht="24">
      <c r="A39" s="1440" t="s">
        <v>1123</v>
      </c>
      <c r="B39" s="1441"/>
      <c r="C39" s="1441"/>
      <c r="D39" s="1442">
        <v>1260328.74</v>
      </c>
      <c r="E39" s="1442">
        <v>1260328.74</v>
      </c>
      <c r="F39" s="1441"/>
      <c r="G39" s="1441"/>
      <c r="I39" s="1437" t="s">
        <v>1128</v>
      </c>
      <c r="J39" s="1438"/>
      <c r="K39" s="1439">
        <v>85610134.409999996</v>
      </c>
      <c r="L39" s="1439">
        <v>26213637.379999999</v>
      </c>
      <c r="M39" s="1439">
        <v>25096078.359999999</v>
      </c>
      <c r="N39" s="1438"/>
      <c r="O39" s="1439">
        <v>84492575.390000001</v>
      </c>
    </row>
    <row r="40" spans="1:15" ht="24">
      <c r="A40" s="1440" t="s">
        <v>1124</v>
      </c>
      <c r="B40" s="1441"/>
      <c r="C40" s="1441"/>
      <c r="D40" s="1442">
        <v>1342678.76</v>
      </c>
      <c r="E40" s="1442">
        <v>1342678.76</v>
      </c>
      <c r="F40" s="1441"/>
      <c r="G40" s="1441"/>
      <c r="I40" s="1440" t="s">
        <v>1130</v>
      </c>
      <c r="J40" s="1441"/>
      <c r="K40" s="1442">
        <v>85610134.409999996</v>
      </c>
      <c r="L40" s="1442">
        <v>26213637.379999999</v>
      </c>
      <c r="M40" s="1442">
        <v>25096078.359999999</v>
      </c>
      <c r="N40" s="1441"/>
      <c r="O40" s="1442">
        <v>84492575.390000001</v>
      </c>
    </row>
    <row r="41" spans="1:15" ht="24">
      <c r="A41" s="1437" t="s">
        <v>1105</v>
      </c>
      <c r="B41" s="1438"/>
      <c r="C41" s="1438"/>
      <c r="D41" s="1439">
        <v>126940.84</v>
      </c>
      <c r="E41" s="1439">
        <v>126940.84</v>
      </c>
      <c r="F41" s="1438"/>
      <c r="G41" s="1438"/>
      <c r="I41" s="1436" t="s">
        <v>1131</v>
      </c>
      <c r="J41" s="1434"/>
      <c r="K41" s="1434"/>
      <c r="L41" s="1435">
        <v>84345.19</v>
      </c>
      <c r="M41" s="1435">
        <v>922327.28</v>
      </c>
      <c r="N41" s="1434"/>
      <c r="O41" s="1435">
        <v>837982.09</v>
      </c>
    </row>
    <row r="42" spans="1:15" ht="24">
      <c r="A42" s="1440" t="s">
        <v>1125</v>
      </c>
      <c r="B42" s="1441"/>
      <c r="C42" s="1441"/>
      <c r="D42" s="1442">
        <v>126940.84</v>
      </c>
      <c r="E42" s="1442">
        <v>126940.84</v>
      </c>
      <c r="F42" s="1441"/>
      <c r="G42" s="1441"/>
      <c r="I42" s="1437" t="s">
        <v>1128</v>
      </c>
      <c r="J42" s="1438"/>
      <c r="K42" s="1438"/>
      <c r="L42" s="1439">
        <v>84345.19</v>
      </c>
      <c r="M42" s="1439">
        <v>922327.28</v>
      </c>
      <c r="N42" s="1438"/>
      <c r="O42" s="1439">
        <v>837982.09</v>
      </c>
    </row>
    <row r="43" spans="1:15" ht="24">
      <c r="A43" s="1436" t="s">
        <v>1127</v>
      </c>
      <c r="B43" s="1434"/>
      <c r="C43" s="1435">
        <v>165320538.13</v>
      </c>
      <c r="D43" s="1435">
        <v>172468121.16</v>
      </c>
      <c r="E43" s="1435">
        <v>92757717.439999998</v>
      </c>
      <c r="F43" s="1434"/>
      <c r="G43" s="1435">
        <v>85610134.409999996</v>
      </c>
      <c r="I43" s="1440" t="s">
        <v>1130</v>
      </c>
      <c r="J43" s="1441"/>
      <c r="K43" s="1441"/>
      <c r="L43" s="1442">
        <v>84345.19</v>
      </c>
      <c r="M43" s="1442">
        <v>922327.28</v>
      </c>
      <c r="N43" s="1441"/>
      <c r="O43" s="1442">
        <v>837982.09</v>
      </c>
    </row>
    <row r="44" spans="1:15">
      <c r="A44" s="1437" t="s">
        <v>1128</v>
      </c>
      <c r="B44" s="1438"/>
      <c r="C44" s="1439">
        <v>165320538.13</v>
      </c>
      <c r="D44" s="1439">
        <v>172468121.16</v>
      </c>
      <c r="E44" s="1439">
        <v>92757717.439999998</v>
      </c>
      <c r="F44" s="1438"/>
      <c r="G44" s="1439">
        <v>85610134.409999996</v>
      </c>
      <c r="I44" s="1443" t="s">
        <v>157</v>
      </c>
      <c r="J44" s="1444"/>
      <c r="K44" s="1445">
        <v>241103178.15000001</v>
      </c>
      <c r="L44" s="1445">
        <v>153013548.47</v>
      </c>
      <c r="M44" s="1445">
        <v>195983972.53999999</v>
      </c>
      <c r="N44" s="1444"/>
      <c r="O44" s="1445">
        <v>284073602.22000003</v>
      </c>
    </row>
    <row r="45" spans="1:15">
      <c r="A45" s="1440" t="s">
        <v>1129</v>
      </c>
      <c r="B45" s="1441"/>
      <c r="C45" s="1442">
        <v>70975160.640000001</v>
      </c>
      <c r="D45" s="1442">
        <v>79726700.760000005</v>
      </c>
      <c r="E45" s="1442">
        <v>8751540.1199999992</v>
      </c>
      <c r="F45" s="1441"/>
      <c r="G45" s="1441"/>
    </row>
    <row r="46" spans="1:15" ht="24">
      <c r="A46" s="1440" t="s">
        <v>1130</v>
      </c>
      <c r="B46" s="1441"/>
      <c r="C46" s="1442">
        <v>94345377.489999995</v>
      </c>
      <c r="D46" s="1442">
        <v>92741420.400000006</v>
      </c>
      <c r="E46" s="1442">
        <v>84006177.319999993</v>
      </c>
      <c r="F46" s="1441"/>
      <c r="G46" s="1442">
        <v>85610134.409999996</v>
      </c>
    </row>
    <row r="47" spans="1:15">
      <c r="A47" s="1436" t="s">
        <v>1131</v>
      </c>
      <c r="B47" s="1434"/>
      <c r="C47" s="1435">
        <v>5408232.7999999998</v>
      </c>
      <c r="D47" s="1435">
        <v>12726877.67</v>
      </c>
      <c r="E47" s="1435">
        <v>7318644.8700000001</v>
      </c>
      <c r="F47" s="1434"/>
      <c r="G47" s="1434"/>
    </row>
    <row r="48" spans="1:15">
      <c r="A48" s="1437" t="s">
        <v>1128</v>
      </c>
      <c r="B48" s="1438"/>
      <c r="C48" s="1439">
        <v>5408232.7999999998</v>
      </c>
      <c r="D48" s="1439">
        <v>12726877.67</v>
      </c>
      <c r="E48" s="1439">
        <v>7318644.8700000001</v>
      </c>
      <c r="F48" s="1438"/>
      <c r="G48" s="1438"/>
    </row>
    <row r="49" spans="1:12">
      <c r="A49" s="1440" t="s">
        <v>1129</v>
      </c>
      <c r="B49" s="1441"/>
      <c r="C49" s="1442">
        <v>628921.06999999995</v>
      </c>
      <c r="D49" s="1442">
        <v>1396893.48</v>
      </c>
      <c r="E49" s="1442">
        <v>767972.41</v>
      </c>
      <c r="F49" s="1441"/>
      <c r="G49" s="1441"/>
    </row>
    <row r="50" spans="1:12" ht="24">
      <c r="A50" s="1440" t="s">
        <v>1130</v>
      </c>
      <c r="B50" s="1441"/>
      <c r="C50" s="1442">
        <v>4779311.7300000004</v>
      </c>
      <c r="D50" s="1442">
        <v>11329984.189999999</v>
      </c>
      <c r="E50" s="1442">
        <v>6550672.46</v>
      </c>
      <c r="F50" s="1441"/>
      <c r="G50" s="1441"/>
    </row>
    <row r="51" spans="1:12">
      <c r="A51" s="1443" t="s">
        <v>157</v>
      </c>
      <c r="B51" s="1444"/>
      <c r="C51" s="1445">
        <v>225528770.93000001</v>
      </c>
      <c r="D51" s="1445">
        <v>260551622.16999999</v>
      </c>
      <c r="E51" s="1445">
        <v>276126029.38999999</v>
      </c>
      <c r="F51" s="1444"/>
      <c r="G51" s="1445">
        <v>241103178.15000001</v>
      </c>
    </row>
    <row r="53" spans="1:12">
      <c r="A53" s="726"/>
      <c r="B53" s="726"/>
      <c r="C53" s="727"/>
      <c r="D53" s="726"/>
      <c r="E53" s="728"/>
      <c r="F53" s="728"/>
      <c r="G53" s="730"/>
      <c r="H53" s="726"/>
      <c r="I53" s="729"/>
    </row>
    <row r="54" spans="1:12">
      <c r="A54" s="1970" t="s">
        <v>1365</v>
      </c>
      <c r="B54" s="1971"/>
      <c r="C54" s="1971"/>
      <c r="D54" s="1971"/>
      <c r="E54" s="1971"/>
      <c r="F54" s="1972"/>
      <c r="G54" s="1971"/>
      <c r="H54" s="1973"/>
      <c r="I54" s="1973"/>
      <c r="J54" s="1973"/>
      <c r="K54" s="1973"/>
      <c r="L54" s="1973"/>
    </row>
    <row r="55" spans="1:12">
      <c r="A55" s="733"/>
      <c r="F55" s="732"/>
      <c r="H55" s="1974" t="s">
        <v>1366</v>
      </c>
      <c r="I55" s="1973"/>
      <c r="J55" s="1973"/>
      <c r="K55" s="1973"/>
      <c r="L55" s="1973"/>
    </row>
    <row r="56" spans="1:12" ht="19.5" thickBot="1">
      <c r="A56" s="1450" t="s">
        <v>1193</v>
      </c>
      <c r="B56" s="1450"/>
      <c r="C56" s="711"/>
      <c r="D56" s="698"/>
      <c r="E56" s="698"/>
      <c r="F56" s="698"/>
      <c r="G56" s="698"/>
    </row>
    <row r="57" spans="1:12" ht="64.5" customHeight="1">
      <c r="A57" s="1475" t="s">
        <v>778</v>
      </c>
      <c r="B57" s="1476" t="s">
        <v>779</v>
      </c>
      <c r="C57" s="1473" t="s">
        <v>780</v>
      </c>
      <c r="D57" s="1473" t="s">
        <v>781</v>
      </c>
      <c r="E57" s="1473" t="s">
        <v>782</v>
      </c>
      <c r="F57" s="1473" t="s">
        <v>783</v>
      </c>
      <c r="G57" s="1473" t="s">
        <v>1133</v>
      </c>
      <c r="H57" s="1976" t="s">
        <v>1367</v>
      </c>
      <c r="I57" s="1976" t="s">
        <v>1368</v>
      </c>
      <c r="J57" s="1976" t="s">
        <v>782</v>
      </c>
      <c r="K57" s="1976" t="s">
        <v>783</v>
      </c>
      <c r="L57" s="1976" t="s">
        <v>1133</v>
      </c>
    </row>
    <row r="58" spans="1:12" ht="39.75" customHeight="1">
      <c r="A58" s="1447" t="s">
        <v>766</v>
      </c>
      <c r="B58" s="1447" t="s">
        <v>767</v>
      </c>
      <c r="C58" s="1474">
        <f>E40/1000</f>
        <v>1342.67876</v>
      </c>
      <c r="D58" s="734"/>
      <c r="E58" s="734"/>
      <c r="F58" s="1446"/>
      <c r="G58" s="1446"/>
      <c r="H58" s="1964"/>
      <c r="I58" s="1964"/>
      <c r="J58" s="734"/>
      <c r="K58" s="1964"/>
      <c r="L58" s="1964"/>
    </row>
    <row r="59" spans="1:12" ht="25.5">
      <c r="A59" s="1477" t="s">
        <v>766</v>
      </c>
      <c r="B59" s="1447" t="s">
        <v>1123</v>
      </c>
      <c r="C59" s="1415">
        <f>E39/1000</f>
        <v>1260.3287399999999</v>
      </c>
      <c r="D59" s="1415"/>
      <c r="E59" s="1415"/>
      <c r="F59" s="1416"/>
      <c r="G59" s="1416"/>
      <c r="H59" s="1416"/>
      <c r="I59" s="1416"/>
      <c r="J59" s="1415"/>
      <c r="K59" s="1416"/>
      <c r="L59" s="1416"/>
    </row>
    <row r="60" spans="1:12" ht="39.75" customHeight="1">
      <c r="A60" s="1470" t="s">
        <v>768</v>
      </c>
      <c r="B60" s="1447" t="s">
        <v>1370</v>
      </c>
      <c r="C60" s="734">
        <f>E37/1000</f>
        <v>1715.23666</v>
      </c>
      <c r="D60" s="734">
        <f>E6/100*12.5/1000/12*8</f>
        <v>1791.0870616666664</v>
      </c>
      <c r="E60" s="1474">
        <v>0</v>
      </c>
      <c r="F60" s="734"/>
      <c r="G60" s="734"/>
      <c r="H60" s="734">
        <f>L35</f>
        <v>1144938.83</v>
      </c>
      <c r="I60" s="734">
        <f>H60/6</f>
        <v>190823.13833333334</v>
      </c>
      <c r="J60" s="1965">
        <v>0</v>
      </c>
      <c r="K60" s="734"/>
      <c r="L60" s="734"/>
    </row>
    <row r="61" spans="1:12" ht="43.5" customHeight="1" thickBot="1">
      <c r="A61" s="1470" t="s">
        <v>768</v>
      </c>
      <c r="B61" s="3609" t="s">
        <v>1371</v>
      </c>
      <c r="C61" s="734">
        <f>E36/1000</f>
        <v>7111.4383399999997</v>
      </c>
      <c r="D61" s="734">
        <f>E5/100*19.5/1000</f>
        <v>19500</v>
      </c>
      <c r="E61" s="1474">
        <f>(100000000/100*19.5/12*8+80000000/100*19.5/12*1+60000000/100*19.5/12*1+20000000/100*19.5/12*1)/1000</f>
        <v>15600</v>
      </c>
      <c r="F61" s="734"/>
      <c r="G61" s="734"/>
      <c r="H61" s="734">
        <f>L34</f>
        <v>8021767.4900000002</v>
      </c>
      <c r="I61" s="734">
        <f>H61+O29*15.5/100/365*180</f>
        <v>8288770.0879342472</v>
      </c>
      <c r="J61" s="1965">
        <f>O28/100*15.5/12*8+80000000/100*15.5/12*1+60000000/100*15.5/12*1+40000000/100*15.5/12*1+20000000/100*15.5/12*1</f>
        <v>12916666.666666668</v>
      </c>
      <c r="K61" s="734"/>
      <c r="L61" s="734"/>
    </row>
    <row r="62" spans="1:12" ht="38.25" hidden="1" customHeight="1">
      <c r="A62" s="1471" t="s">
        <v>773</v>
      </c>
      <c r="B62" s="3610" t="s">
        <v>774</v>
      </c>
      <c r="C62" s="734" t="e">
        <f>#REF!/2/1000</f>
        <v>#REF!</v>
      </c>
      <c r="D62" s="734" t="e">
        <f>C62</f>
        <v>#REF!</v>
      </c>
      <c r="E62" s="1474"/>
      <c r="F62" s="734"/>
      <c r="G62" s="734"/>
      <c r="H62" s="734"/>
      <c r="I62" s="734"/>
      <c r="J62" s="1965"/>
      <c r="K62" s="734"/>
      <c r="L62" s="734"/>
    </row>
    <row r="63" spans="1:12" ht="15" hidden="1" customHeight="1">
      <c r="A63" s="3589" t="s">
        <v>775</v>
      </c>
      <c r="B63" s="3591" t="s">
        <v>776</v>
      </c>
      <c r="C63" s="3587"/>
      <c r="D63" s="3587" t="e">
        <f>#REF!/1000</f>
        <v>#REF!</v>
      </c>
      <c r="E63" s="3585"/>
      <c r="F63" s="3587">
        <f>4450*12</f>
        <v>53400</v>
      </c>
      <c r="G63" s="3587">
        <f>4450*12</f>
        <v>53400</v>
      </c>
      <c r="H63" s="3587">
        <f>4450*12</f>
        <v>53400</v>
      </c>
      <c r="I63" s="3587">
        <f>4450*12</f>
        <v>53400</v>
      </c>
      <c r="J63" s="3585"/>
      <c r="K63" s="3587">
        <f>4450*12</f>
        <v>53400</v>
      </c>
      <c r="L63" s="3587">
        <f>4450*12</f>
        <v>53400</v>
      </c>
    </row>
    <row r="64" spans="1:12" ht="21.75" hidden="1" customHeight="1" thickBot="1">
      <c r="A64" s="3590"/>
      <c r="B64" s="3592"/>
      <c r="C64" s="3588"/>
      <c r="D64" s="3588"/>
      <c r="E64" s="3586"/>
      <c r="F64" s="3588"/>
      <c r="G64" s="3588"/>
      <c r="H64" s="3588"/>
      <c r="I64" s="3588"/>
      <c r="J64" s="3586"/>
      <c r="K64" s="3588"/>
      <c r="L64" s="3588"/>
    </row>
    <row r="65" spans="1:16" ht="48.75" customHeight="1">
      <c r="A65" s="1472" t="s">
        <v>1105</v>
      </c>
      <c r="B65" s="1417" t="s">
        <v>1106</v>
      </c>
      <c r="C65" s="734">
        <f>E42/1000</f>
        <v>126.94083999999999</v>
      </c>
      <c r="D65" s="734">
        <f>100000000/100*15.7/4*3/1000</f>
        <v>11775</v>
      </c>
      <c r="E65" s="1474">
        <f>160000000/100*15.7/2/1000</f>
        <v>12560</v>
      </c>
      <c r="F65" s="734">
        <f>(160000000-25000000)*15.7/100*11/12/1000</f>
        <v>19428.75</v>
      </c>
      <c r="G65" s="734">
        <f>F65/2</f>
        <v>9714.375</v>
      </c>
      <c r="H65" s="734">
        <f>L37</f>
        <v>4498859.58</v>
      </c>
      <c r="I65" s="734">
        <f>H65+128000000/100*16.7/365*160</f>
        <v>13869160.949863015</v>
      </c>
      <c r="J65" s="1965">
        <f>160000000/100*16.7</f>
        <v>26720000</v>
      </c>
      <c r="K65" s="734">
        <f>(160000000-25000000)*15.7/100*11/12/1000*1000</f>
        <v>19428750</v>
      </c>
      <c r="L65" s="734">
        <f>K65/2</f>
        <v>9714375</v>
      </c>
    </row>
    <row r="66" spans="1:16" ht="48.75" customHeight="1" thickBot="1">
      <c r="A66" s="1982" t="s">
        <v>1372</v>
      </c>
      <c r="B66" s="1989" t="s">
        <v>1373</v>
      </c>
      <c r="C66" s="1980"/>
      <c r="D66" s="1980"/>
      <c r="E66" s="1962"/>
      <c r="F66" s="1980"/>
      <c r="G66" s="1980"/>
      <c r="H66" s="1980"/>
      <c r="I66" s="1980">
        <f>5*40000000/100*15.5/12</f>
        <v>2583333.3333333335</v>
      </c>
      <c r="J66" s="1961">
        <f>40000000/100*15.5/12*6.5</f>
        <v>3358333.3333333335</v>
      </c>
      <c r="K66" s="1990"/>
      <c r="L66" s="1990"/>
    </row>
    <row r="67" spans="1:16" ht="15.75" thickBot="1">
      <c r="A67" s="1988" t="s">
        <v>784</v>
      </c>
      <c r="B67" s="735"/>
      <c r="C67" s="736">
        <f t="shared" ref="C67:H67" si="0">C58+C59+C60+C61+C65</f>
        <v>11556.623339999998</v>
      </c>
      <c r="D67" s="736">
        <f t="shared" si="0"/>
        <v>33066.087061666665</v>
      </c>
      <c r="E67" s="1480">
        <f t="shared" si="0"/>
        <v>28160</v>
      </c>
      <c r="F67" s="736">
        <f t="shared" si="0"/>
        <v>19428.75</v>
      </c>
      <c r="G67" s="736">
        <f t="shared" si="0"/>
        <v>9714.375</v>
      </c>
      <c r="H67" s="736">
        <f t="shared" si="0"/>
        <v>13665565.9</v>
      </c>
      <c r="I67" s="736">
        <f>I58+I59+I60+I61+I65+I66</f>
        <v>24932087.509463925</v>
      </c>
      <c r="J67" s="736">
        <f t="shared" ref="J67:L67" si="1">J58+J59+J60+J61+J65+J66</f>
        <v>42995000.000000007</v>
      </c>
      <c r="K67" s="736">
        <f t="shared" si="1"/>
        <v>19428750</v>
      </c>
      <c r="L67" s="736">
        <f t="shared" si="1"/>
        <v>9714375</v>
      </c>
    </row>
    <row r="68" spans="1:16">
      <c r="A68" s="978"/>
      <c r="B68" s="978"/>
      <c r="C68" s="979"/>
      <c r="D68" s="979"/>
      <c r="E68" s="979"/>
      <c r="F68" s="979"/>
    </row>
    <row r="69" spans="1:16">
      <c r="A69" s="3595" t="s">
        <v>1134</v>
      </c>
      <c r="B69" s="3595"/>
      <c r="C69" s="3595"/>
      <c r="D69" s="3595"/>
      <c r="E69" s="3595"/>
      <c r="F69" s="3595"/>
      <c r="G69" s="1991"/>
      <c r="H69" s="3581" t="s">
        <v>1374</v>
      </c>
      <c r="I69" s="3582"/>
      <c r="J69" s="3582"/>
      <c r="K69" s="3582"/>
      <c r="L69" s="3583"/>
      <c r="M69" s="1981"/>
      <c r="N69" s="1979"/>
      <c r="O69" s="1979"/>
      <c r="P69" s="1979"/>
    </row>
    <row r="70" spans="1:16" ht="83.25" customHeight="1">
      <c r="A70" s="1451" t="s">
        <v>1135</v>
      </c>
      <c r="B70" s="1453">
        <f>P9</f>
        <v>3.2366282031247778E-2</v>
      </c>
      <c r="C70" s="734"/>
      <c r="D70" s="734"/>
      <c r="E70" s="734"/>
      <c r="F70" s="734"/>
      <c r="G70" s="704"/>
      <c r="H70" s="1992"/>
      <c r="I70" s="1992"/>
      <c r="J70" s="1992"/>
      <c r="K70" s="1992"/>
      <c r="L70" s="1992"/>
    </row>
    <row r="71" spans="1:16">
      <c r="A71" s="734" t="s">
        <v>1147</v>
      </c>
      <c r="B71" s="1453">
        <v>0.96760000000000002</v>
      </c>
      <c r="C71" s="734">
        <f>C67*0.967</f>
        <v>11175.254769779998</v>
      </c>
      <c r="D71" s="734">
        <f t="shared" ref="D71:G71" si="2">D67*0.967</f>
        <v>31974.906188631663</v>
      </c>
      <c r="E71" s="734">
        <f t="shared" si="2"/>
        <v>27230.719999999998</v>
      </c>
      <c r="F71" s="734">
        <f t="shared" si="2"/>
        <v>18787.60125</v>
      </c>
      <c r="G71" s="734">
        <f t="shared" si="2"/>
        <v>9393.8006249999999</v>
      </c>
      <c r="H71" s="734">
        <f t="shared" ref="H71:L71" si="3">H67*0.967</f>
        <v>13214602.225299999</v>
      </c>
      <c r="I71" s="734">
        <f t="shared" si="3"/>
        <v>24109328.621651616</v>
      </c>
      <c r="J71" s="734">
        <f t="shared" si="3"/>
        <v>41576165.000000007</v>
      </c>
      <c r="K71" s="734">
        <f t="shared" si="3"/>
        <v>18787601.25</v>
      </c>
      <c r="L71" s="734">
        <f t="shared" si="3"/>
        <v>9393800.625</v>
      </c>
    </row>
    <row r="72" spans="1:16">
      <c r="A72" s="734" t="s">
        <v>1148</v>
      </c>
      <c r="B72" s="1453"/>
      <c r="C72" s="734"/>
      <c r="D72" s="734"/>
      <c r="E72" s="734"/>
      <c r="F72" s="734"/>
      <c r="G72" s="704"/>
      <c r="H72" s="704"/>
      <c r="I72" s="704"/>
      <c r="J72" s="704"/>
      <c r="K72" s="704"/>
      <c r="L72" s="704"/>
    </row>
    <row r="73" spans="1:16">
      <c r="A73" s="734" t="s">
        <v>1149</v>
      </c>
      <c r="B73" s="1453">
        <v>0.59</v>
      </c>
      <c r="C73" s="734">
        <f>C71*0.59</f>
        <v>6593.4003141701987</v>
      </c>
      <c r="D73" s="734">
        <f t="shared" ref="D73:G73" si="4">D71*0.59</f>
        <v>18865.194651292681</v>
      </c>
      <c r="E73" s="734">
        <f t="shared" si="4"/>
        <v>16066.124799999998</v>
      </c>
      <c r="F73" s="734">
        <f t="shared" si="4"/>
        <v>11084.6847375</v>
      </c>
      <c r="G73" s="734">
        <f t="shared" si="4"/>
        <v>5542.3423687499999</v>
      </c>
      <c r="H73" s="734">
        <f t="shared" ref="H73:L73" si="5">H71*0.59</f>
        <v>7796615.3129269993</v>
      </c>
      <c r="I73" s="734">
        <f t="shared" si="5"/>
        <v>14224503.886774452</v>
      </c>
      <c r="J73" s="734">
        <f t="shared" si="5"/>
        <v>24529937.350000001</v>
      </c>
      <c r="K73" s="734">
        <f t="shared" si="5"/>
        <v>11084684.737499999</v>
      </c>
      <c r="L73" s="734">
        <f t="shared" si="5"/>
        <v>5542342.3687499994</v>
      </c>
    </row>
    <row r="74" spans="1:16">
      <c r="A74" s="734" t="s">
        <v>1150</v>
      </c>
      <c r="B74" s="1453">
        <v>0.41</v>
      </c>
      <c r="C74" s="734">
        <f>C71*0.41</f>
        <v>4581.8544556097986</v>
      </c>
      <c r="D74" s="734">
        <f t="shared" ref="D74:E74" si="6">D71*0.41</f>
        <v>13109.711537338981</v>
      </c>
      <c r="E74" s="734">
        <f t="shared" si="6"/>
        <v>11164.595199999998</v>
      </c>
      <c r="F74" s="734">
        <f t="shared" ref="F74:G74" si="7">F71*0.41</f>
        <v>7702.916512499999</v>
      </c>
      <c r="G74" s="734">
        <f t="shared" si="7"/>
        <v>3851.4582562499995</v>
      </c>
      <c r="H74" s="734">
        <f t="shared" ref="H74:L74" si="8">H71*0.41</f>
        <v>5417986.9123729989</v>
      </c>
      <c r="I74" s="734">
        <f t="shared" si="8"/>
        <v>9884824.7348771617</v>
      </c>
      <c r="J74" s="734">
        <f t="shared" si="8"/>
        <v>17046227.650000002</v>
      </c>
      <c r="K74" s="734">
        <f t="shared" si="8"/>
        <v>7702916.5124999993</v>
      </c>
      <c r="L74" s="734">
        <f t="shared" si="8"/>
        <v>3851458.2562499996</v>
      </c>
    </row>
    <row r="76" spans="1:16">
      <c r="A76" s="3593" t="s">
        <v>953</v>
      </c>
      <c r="B76" s="3594"/>
      <c r="C76" s="3594"/>
    </row>
    <row r="81" spans="1:12" ht="19.5" thickBot="1">
      <c r="A81" s="1450" t="s">
        <v>1194</v>
      </c>
      <c r="B81" s="1450"/>
      <c r="C81" s="711"/>
      <c r="D81" s="698"/>
      <c r="E81" s="698"/>
      <c r="F81" s="698"/>
      <c r="G81" s="698"/>
    </row>
    <row r="82" spans="1:12" ht="57.75">
      <c r="A82" s="1475" t="s">
        <v>778</v>
      </c>
      <c r="B82" s="1476" t="s">
        <v>779</v>
      </c>
      <c r="C82" s="1473" t="s">
        <v>780</v>
      </c>
      <c r="D82" s="1473" t="s">
        <v>781</v>
      </c>
      <c r="E82" s="1473" t="s">
        <v>782</v>
      </c>
      <c r="F82" s="1473" t="s">
        <v>783</v>
      </c>
      <c r="G82" s="1473" t="s">
        <v>1133</v>
      </c>
      <c r="H82" s="1976" t="s">
        <v>1367</v>
      </c>
      <c r="I82" s="1976" t="s">
        <v>1368</v>
      </c>
      <c r="J82" s="1976" t="s">
        <v>782</v>
      </c>
      <c r="K82" s="1976" t="s">
        <v>783</v>
      </c>
      <c r="L82" s="1976" t="s">
        <v>1133</v>
      </c>
    </row>
    <row r="83" spans="1:12" ht="25.5">
      <c r="A83" s="1447" t="s">
        <v>766</v>
      </c>
      <c r="B83" s="1447" t="s">
        <v>767</v>
      </c>
      <c r="C83" s="1536">
        <f>C58*0.967*0.59</f>
        <v>766.03851294279991</v>
      </c>
      <c r="D83" s="1536">
        <f t="shared" ref="D83:L83" si="9">D58*0.967*0.59</f>
        <v>0</v>
      </c>
      <c r="E83" s="1536">
        <f t="shared" si="9"/>
        <v>0</v>
      </c>
      <c r="F83" s="1536">
        <f t="shared" si="9"/>
        <v>0</v>
      </c>
      <c r="G83" s="1536">
        <f t="shared" si="9"/>
        <v>0</v>
      </c>
      <c r="H83" s="1965">
        <f t="shared" si="9"/>
        <v>0</v>
      </c>
      <c r="I83" s="1965">
        <f t="shared" si="9"/>
        <v>0</v>
      </c>
      <c r="J83" s="1965">
        <f t="shared" si="9"/>
        <v>0</v>
      </c>
      <c r="K83" s="1965">
        <f t="shared" si="9"/>
        <v>0</v>
      </c>
      <c r="L83" s="1965">
        <f t="shared" si="9"/>
        <v>0</v>
      </c>
    </row>
    <row r="84" spans="1:12" ht="25.5">
      <c r="A84" s="1477" t="s">
        <v>766</v>
      </c>
      <c r="B84" s="1447" t="s">
        <v>1123</v>
      </c>
      <c r="C84" s="1536">
        <f>C59*0.967*0.59</f>
        <v>719.05535603219994</v>
      </c>
      <c r="D84" s="1536">
        <f t="shared" ref="D84:L84" si="10">D59*0.967*0.59</f>
        <v>0</v>
      </c>
      <c r="E84" s="1536">
        <f t="shared" si="10"/>
        <v>0</v>
      </c>
      <c r="F84" s="1536">
        <f t="shared" si="10"/>
        <v>0</v>
      </c>
      <c r="G84" s="1536">
        <f t="shared" si="10"/>
        <v>0</v>
      </c>
      <c r="H84" s="1965">
        <f t="shared" si="10"/>
        <v>0</v>
      </c>
      <c r="I84" s="1965">
        <f t="shared" si="10"/>
        <v>0</v>
      </c>
      <c r="J84" s="1965">
        <f t="shared" si="10"/>
        <v>0</v>
      </c>
      <c r="K84" s="1965">
        <f t="shared" si="10"/>
        <v>0</v>
      </c>
      <c r="L84" s="1965">
        <f t="shared" si="10"/>
        <v>0</v>
      </c>
    </row>
    <row r="85" spans="1:12" ht="25.5">
      <c r="A85" s="1470" t="s">
        <v>768</v>
      </c>
      <c r="B85" s="1447" t="s">
        <v>771</v>
      </c>
      <c r="C85" s="1536">
        <f>C60*0.967*0.59</f>
        <v>978.59397162979985</v>
      </c>
      <c r="D85" s="1536">
        <f t="shared" ref="D85:L85" si="11">D60*0.967*0.59</f>
        <v>1021.8689012926831</v>
      </c>
      <c r="E85" s="1536">
        <f t="shared" si="11"/>
        <v>0</v>
      </c>
      <c r="F85" s="1536">
        <f t="shared" si="11"/>
        <v>0</v>
      </c>
      <c r="G85" s="1536">
        <f t="shared" si="11"/>
        <v>0</v>
      </c>
      <c r="H85" s="1965">
        <f t="shared" si="11"/>
        <v>653221.95067990001</v>
      </c>
      <c r="I85" s="1965">
        <f t="shared" si="11"/>
        <v>108870.32511331666</v>
      </c>
      <c r="J85" s="1965">
        <f t="shared" si="11"/>
        <v>0</v>
      </c>
      <c r="K85" s="1965">
        <f t="shared" si="11"/>
        <v>0</v>
      </c>
      <c r="L85" s="1965">
        <f t="shared" si="11"/>
        <v>0</v>
      </c>
    </row>
    <row r="86" spans="1:12" ht="27.75" customHeight="1">
      <c r="A86" s="1470" t="s">
        <v>768</v>
      </c>
      <c r="B86" s="1447" t="s">
        <v>769</v>
      </c>
      <c r="C86" s="1536">
        <f>C61*0.967*0.59</f>
        <v>4057.2889161201997</v>
      </c>
      <c r="D86" s="1536">
        <f t="shared" ref="D86:L86" si="12">D61*0.967*0.59</f>
        <v>11125.334999999999</v>
      </c>
      <c r="E86" s="1536">
        <f t="shared" si="12"/>
        <v>8900.2679999999982</v>
      </c>
      <c r="F86" s="1536">
        <f t="shared" si="12"/>
        <v>0</v>
      </c>
      <c r="G86" s="1536">
        <f t="shared" si="12"/>
        <v>0</v>
      </c>
      <c r="H86" s="1965">
        <f t="shared" si="12"/>
        <v>4576659.0060696993</v>
      </c>
      <c r="I86" s="1965">
        <f>I61*0.967*0.59</f>
        <v>4728991.9982691258</v>
      </c>
      <c r="J86" s="1965">
        <f t="shared" si="12"/>
        <v>7369345.833333334</v>
      </c>
      <c r="K86" s="1965">
        <f t="shared" si="12"/>
        <v>0</v>
      </c>
      <c r="L86" s="1965">
        <f t="shared" si="12"/>
        <v>0</v>
      </c>
    </row>
    <row r="87" spans="1:12" ht="43.5" customHeight="1">
      <c r="A87" s="1471" t="s">
        <v>773</v>
      </c>
      <c r="B87" s="1544" t="s">
        <v>774</v>
      </c>
      <c r="C87" s="1536"/>
      <c r="D87" s="1536"/>
      <c r="E87" s="1536"/>
      <c r="F87" s="1536"/>
      <c r="G87" s="1536"/>
      <c r="H87" s="704"/>
      <c r="I87" s="704"/>
      <c r="J87" s="704"/>
      <c r="K87" s="704"/>
      <c r="L87" s="704"/>
    </row>
    <row r="88" spans="1:12">
      <c r="A88" s="3589" t="s">
        <v>775</v>
      </c>
      <c r="B88" s="3591" t="s">
        <v>776</v>
      </c>
      <c r="C88" s="3587"/>
      <c r="D88" s="3587"/>
      <c r="E88" s="3585"/>
      <c r="F88" s="3587"/>
      <c r="G88" s="3587"/>
      <c r="H88" s="3578"/>
      <c r="I88" s="3578"/>
      <c r="J88" s="3578"/>
      <c r="K88" s="3578"/>
      <c r="L88" s="3578"/>
    </row>
    <row r="89" spans="1:12" ht="31.5" customHeight="1" thickBot="1">
      <c r="A89" s="3590"/>
      <c r="B89" s="3592"/>
      <c r="C89" s="3588"/>
      <c r="D89" s="3588"/>
      <c r="E89" s="3586"/>
      <c r="F89" s="3588"/>
      <c r="G89" s="3588"/>
      <c r="H89" s="3579"/>
      <c r="I89" s="3579"/>
      <c r="J89" s="3579"/>
      <c r="K89" s="3579"/>
      <c r="L89" s="3579"/>
    </row>
    <row r="90" spans="1:12" ht="36.75" customHeight="1">
      <c r="A90" s="1472" t="s">
        <v>1105</v>
      </c>
      <c r="B90" s="1417" t="s">
        <v>1106</v>
      </c>
      <c r="C90" s="1536">
        <f>C65*0.967*0.59</f>
        <v>72.42355744519999</v>
      </c>
      <c r="D90" s="1536">
        <f t="shared" ref="D90:L91" si="13">D65*0.967*0.59</f>
        <v>6717.990749999999</v>
      </c>
      <c r="E90" s="1536">
        <f t="shared" si="13"/>
        <v>7165.8567999999996</v>
      </c>
      <c r="F90" s="1536">
        <f t="shared" si="13"/>
        <v>11084.6847375</v>
      </c>
      <c r="G90" s="1536">
        <f t="shared" si="13"/>
        <v>5542.3423687499999</v>
      </c>
      <c r="H90" s="1965">
        <f t="shared" si="13"/>
        <v>2566734.3561773994</v>
      </c>
      <c r="I90" s="1965">
        <f t="shared" si="13"/>
        <v>7912772.3967253445</v>
      </c>
      <c r="J90" s="1965">
        <f>J65*0.967*0.59</f>
        <v>15244561.6</v>
      </c>
      <c r="K90" s="1965">
        <f>K65*0.967*0.59</f>
        <v>11084684.737499999</v>
      </c>
      <c r="L90" s="1965">
        <f t="shared" si="13"/>
        <v>5542342.3687499994</v>
      </c>
    </row>
    <row r="91" spans="1:12" ht="26.25" thickBot="1">
      <c r="A91" s="1982" t="s">
        <v>1372</v>
      </c>
      <c r="B91" s="1989" t="s">
        <v>1373</v>
      </c>
      <c r="C91" s="1962"/>
      <c r="D91" s="1962"/>
      <c r="E91" s="1962"/>
      <c r="F91" s="1962"/>
      <c r="G91" s="1962"/>
      <c r="H91" s="1965">
        <f t="shared" si="13"/>
        <v>0</v>
      </c>
      <c r="I91" s="1965">
        <f t="shared" si="13"/>
        <v>1473869.1666666667</v>
      </c>
      <c r="J91" s="1965">
        <f t="shared" si="13"/>
        <v>1916029.9166666667</v>
      </c>
      <c r="K91" s="1965">
        <f t="shared" si="13"/>
        <v>0</v>
      </c>
      <c r="L91" s="1965">
        <f t="shared" si="13"/>
        <v>0</v>
      </c>
    </row>
    <row r="92" spans="1:12" ht="15.75" thickBot="1">
      <c r="A92" s="1993" t="s">
        <v>784</v>
      </c>
      <c r="B92" s="1994"/>
      <c r="C92" s="1995">
        <f>C83+C84+C85+C86+C90</f>
        <v>6593.4003141701996</v>
      </c>
      <c r="D92" s="1995">
        <f>D83+D84+D85+D86+D90</f>
        <v>18865.194651292681</v>
      </c>
      <c r="E92" s="1996">
        <f>E83+E84+E85+E86+E90</f>
        <v>16066.124799999998</v>
      </c>
      <c r="F92" s="1995">
        <f>F83+F84+F85+F86+F90</f>
        <v>11084.6847375</v>
      </c>
      <c r="G92" s="1997">
        <f>G83+G84+G85+G86+G90</f>
        <v>5542.3423687499999</v>
      </c>
      <c r="H92" s="1997">
        <f>H83+H84+H85+H86+H90+H91</f>
        <v>7796615.3129269984</v>
      </c>
      <c r="I92" s="1998">
        <f>SUM(I85:I91)</f>
        <v>14224503.886774452</v>
      </c>
      <c r="J92" s="1998">
        <f t="shared" ref="J92:L92" si="14">SUM(J85:J91)</f>
        <v>24529937.350000001</v>
      </c>
      <c r="K92" s="1998">
        <f t="shared" si="14"/>
        <v>11084684.737499999</v>
      </c>
      <c r="L92" s="1998">
        <f t="shared" si="14"/>
        <v>5542342.3687499994</v>
      </c>
    </row>
    <row r="94" spans="1:12">
      <c r="J94" s="694">
        <f>J86+J90+J91</f>
        <v>24529937.350000001</v>
      </c>
    </row>
    <row r="95" spans="1:12" ht="19.5" thickBot="1">
      <c r="A95" s="1450" t="s">
        <v>1195</v>
      </c>
      <c r="B95" s="1450"/>
      <c r="C95" s="711"/>
      <c r="D95" s="698"/>
      <c r="E95" s="698"/>
      <c r="F95" s="698"/>
      <c r="G95" s="698"/>
    </row>
    <row r="96" spans="1:12" ht="57.75">
      <c r="A96" s="1475" t="s">
        <v>778</v>
      </c>
      <c r="B96" s="1476" t="s">
        <v>779</v>
      </c>
      <c r="C96" s="1473" t="s">
        <v>780</v>
      </c>
      <c r="D96" s="1473" t="s">
        <v>781</v>
      </c>
      <c r="E96" s="1473" t="s">
        <v>782</v>
      </c>
      <c r="F96" s="1473" t="s">
        <v>783</v>
      </c>
      <c r="G96" s="1473" t="s">
        <v>1133</v>
      </c>
      <c r="H96" s="1976" t="s">
        <v>1367</v>
      </c>
      <c r="I96" s="1976" t="s">
        <v>1368</v>
      </c>
      <c r="J96" s="1976" t="s">
        <v>782</v>
      </c>
      <c r="K96" s="1976" t="s">
        <v>783</v>
      </c>
      <c r="L96" s="1976" t="s">
        <v>1133</v>
      </c>
    </row>
    <row r="97" spans="1:12" ht="25.5">
      <c r="A97" s="1447" t="s">
        <v>766</v>
      </c>
      <c r="B97" s="1447" t="s">
        <v>767</v>
      </c>
      <c r="C97" s="1536">
        <f>C58*0.967*0.41</f>
        <v>532.33184797719991</v>
      </c>
      <c r="D97" s="1536">
        <f t="shared" ref="D97:G97" si="15">D58*0.967*0.41</f>
        <v>0</v>
      </c>
      <c r="E97" s="1536">
        <f t="shared" si="15"/>
        <v>0</v>
      </c>
      <c r="F97" s="1536">
        <f t="shared" si="15"/>
        <v>0</v>
      </c>
      <c r="G97" s="1536">
        <f t="shared" si="15"/>
        <v>0</v>
      </c>
      <c r="H97" s="1965">
        <f>H58*0.967*0.59</f>
        <v>0</v>
      </c>
      <c r="I97" s="1965">
        <f t="shared" ref="I97:L97" si="16">I58*0.967*0.59</f>
        <v>0</v>
      </c>
      <c r="J97" s="1965">
        <f t="shared" si="16"/>
        <v>0</v>
      </c>
      <c r="K97" s="1965">
        <f t="shared" si="16"/>
        <v>0</v>
      </c>
      <c r="L97" s="1965">
        <f t="shared" si="16"/>
        <v>0</v>
      </c>
    </row>
    <row r="98" spans="1:12" ht="25.5">
      <c r="A98" s="1477" t="s">
        <v>766</v>
      </c>
      <c r="B98" s="1447" t="s">
        <v>1123</v>
      </c>
      <c r="C98" s="1536">
        <f t="shared" ref="C98:G100" si="17">C59*0.967*0.41</f>
        <v>499.68253554779994</v>
      </c>
      <c r="D98" s="1536">
        <f t="shared" si="17"/>
        <v>0</v>
      </c>
      <c r="E98" s="1536">
        <f t="shared" si="17"/>
        <v>0</v>
      </c>
      <c r="F98" s="1536">
        <f t="shared" si="17"/>
        <v>0</v>
      </c>
      <c r="G98" s="1536">
        <f t="shared" si="17"/>
        <v>0</v>
      </c>
      <c r="H98" s="1965">
        <f t="shared" ref="H98:L98" si="18">H59*0.967*0.59</f>
        <v>0</v>
      </c>
      <c r="I98" s="1965">
        <f t="shared" si="18"/>
        <v>0</v>
      </c>
      <c r="J98" s="1965">
        <f t="shared" si="18"/>
        <v>0</v>
      </c>
      <c r="K98" s="1965">
        <f t="shared" si="18"/>
        <v>0</v>
      </c>
      <c r="L98" s="1965">
        <f t="shared" si="18"/>
        <v>0</v>
      </c>
    </row>
    <row r="99" spans="1:12" ht="25.5">
      <c r="A99" s="1470" t="s">
        <v>768</v>
      </c>
      <c r="B99" s="1447" t="s">
        <v>771</v>
      </c>
      <c r="C99" s="1536">
        <f t="shared" si="17"/>
        <v>680.03987859019992</v>
      </c>
      <c r="D99" s="1536">
        <f t="shared" si="17"/>
        <v>710.11228733898315</v>
      </c>
      <c r="E99" s="1536">
        <f t="shared" si="17"/>
        <v>0</v>
      </c>
      <c r="F99" s="1536">
        <f t="shared" si="17"/>
        <v>0</v>
      </c>
      <c r="G99" s="1536">
        <f t="shared" si="17"/>
        <v>0</v>
      </c>
      <c r="H99" s="1965">
        <f>H60*0.967*0.41</f>
        <v>453933.89793009998</v>
      </c>
      <c r="I99" s="1965">
        <f t="shared" ref="I99:L99" si="19">I60*0.967*0.41</f>
        <v>75655.649655016663</v>
      </c>
      <c r="J99" s="1965">
        <f t="shared" si="19"/>
        <v>0</v>
      </c>
      <c r="K99" s="1965">
        <f t="shared" si="19"/>
        <v>0</v>
      </c>
      <c r="L99" s="1965">
        <f t="shared" si="19"/>
        <v>0</v>
      </c>
    </row>
    <row r="100" spans="1:12" ht="40.5" customHeight="1">
      <c r="A100" s="1470" t="s">
        <v>768</v>
      </c>
      <c r="B100" s="1773" t="s">
        <v>769</v>
      </c>
      <c r="C100" s="1536">
        <f t="shared" si="17"/>
        <v>2819.4719586597998</v>
      </c>
      <c r="D100" s="1536">
        <f t="shared" si="17"/>
        <v>7731.165</v>
      </c>
      <c r="E100" s="1536">
        <f t="shared" si="17"/>
        <v>6184.9319999999989</v>
      </c>
      <c r="F100" s="1536">
        <f t="shared" si="17"/>
        <v>0</v>
      </c>
      <c r="G100" s="1536">
        <f t="shared" si="17"/>
        <v>0</v>
      </c>
      <c r="H100" s="1965">
        <f>H61*0.967*0.41</f>
        <v>3180390.1567602996</v>
      </c>
      <c r="I100" s="1965">
        <f t="shared" ref="I100:L100" si="20">I61*0.967*0.41</f>
        <v>3286248.6767632905</v>
      </c>
      <c r="J100" s="1965">
        <f t="shared" si="20"/>
        <v>5121070.833333334</v>
      </c>
      <c r="K100" s="1965">
        <f t="shared" si="20"/>
        <v>0</v>
      </c>
      <c r="L100" s="1965">
        <f t="shared" si="20"/>
        <v>0</v>
      </c>
    </row>
    <row r="101" spans="1:12" ht="45.75" customHeight="1">
      <c r="A101" s="1471" t="s">
        <v>773</v>
      </c>
      <c r="B101" s="1544" t="s">
        <v>774</v>
      </c>
      <c r="C101" s="734"/>
      <c r="D101" s="734"/>
      <c r="E101" s="1536"/>
      <c r="F101" s="734"/>
      <c r="G101" s="734"/>
      <c r="H101" s="704"/>
      <c r="I101" s="704"/>
      <c r="J101" s="704"/>
      <c r="K101" s="704"/>
      <c r="L101" s="704"/>
    </row>
    <row r="102" spans="1:12">
      <c r="A102" s="3589" t="s">
        <v>775</v>
      </c>
      <c r="B102" s="3591" t="s">
        <v>776</v>
      </c>
      <c r="C102" s="3587"/>
      <c r="D102" s="3587"/>
      <c r="E102" s="3585"/>
      <c r="F102" s="3587"/>
      <c r="G102" s="3587"/>
      <c r="H102" s="3578"/>
      <c r="I102" s="3578"/>
      <c r="J102" s="3578"/>
      <c r="K102" s="3578"/>
      <c r="L102" s="3578"/>
    </row>
    <row r="103" spans="1:12" ht="35.25" customHeight="1" thickBot="1">
      <c r="A103" s="3590"/>
      <c r="B103" s="3592"/>
      <c r="C103" s="3588"/>
      <c r="D103" s="3588"/>
      <c r="E103" s="3586"/>
      <c r="F103" s="3588"/>
      <c r="G103" s="3588"/>
      <c r="H103" s="3579"/>
      <c r="I103" s="3579"/>
      <c r="J103" s="3579"/>
      <c r="K103" s="3579"/>
      <c r="L103" s="3579"/>
    </row>
    <row r="104" spans="1:12" ht="40.5" customHeight="1">
      <c r="A104" s="1472" t="s">
        <v>1105</v>
      </c>
      <c r="B104" s="1417" t="s">
        <v>1106</v>
      </c>
      <c r="C104" s="734">
        <f>C65*0.967*0.41</f>
        <v>50.328234834799993</v>
      </c>
      <c r="D104" s="734">
        <f t="shared" ref="D104:G104" si="21">D65*0.967*0.41</f>
        <v>4668.4342499999993</v>
      </c>
      <c r="E104" s="734">
        <f t="shared" si="21"/>
        <v>4979.6632</v>
      </c>
      <c r="F104" s="734">
        <f t="shared" si="21"/>
        <v>7702.916512499999</v>
      </c>
      <c r="G104" s="734">
        <f t="shared" si="21"/>
        <v>3851.4582562499995</v>
      </c>
      <c r="H104" s="1965">
        <f>H65*0.967*0.41</f>
        <v>1783662.8576825997</v>
      </c>
      <c r="I104" s="1965">
        <f t="shared" ref="I104:L104" si="22">I65*0.967*0.41</f>
        <v>5498706.241792189</v>
      </c>
      <c r="J104" s="1965">
        <f t="shared" si="22"/>
        <v>10593678.399999999</v>
      </c>
      <c r="K104" s="1965">
        <f t="shared" si="22"/>
        <v>7702916.5124999993</v>
      </c>
      <c r="L104" s="1965">
        <f t="shared" si="22"/>
        <v>3851458.2562499996</v>
      </c>
    </row>
    <row r="105" spans="1:12" ht="26.25" thickBot="1">
      <c r="A105" s="1982" t="s">
        <v>1372</v>
      </c>
      <c r="B105" s="1989" t="s">
        <v>1373</v>
      </c>
      <c r="C105" s="1980"/>
      <c r="D105" s="1980"/>
      <c r="E105" s="1980"/>
      <c r="F105" s="1980"/>
      <c r="G105" s="1980"/>
      <c r="H105" s="1965">
        <f>H66*0.967*0.41</f>
        <v>0</v>
      </c>
      <c r="I105" s="1965">
        <f t="shared" ref="I105:L105" si="23">I66*0.967*0.41</f>
        <v>1024214.1666666666</v>
      </c>
      <c r="J105" s="1965">
        <f t="shared" si="23"/>
        <v>1331478.4166666667</v>
      </c>
      <c r="K105" s="1965">
        <f t="shared" si="23"/>
        <v>0</v>
      </c>
      <c r="L105" s="1965">
        <f t="shared" si="23"/>
        <v>0</v>
      </c>
    </row>
    <row r="106" spans="1:12" ht="15.75" thickBot="1">
      <c r="A106" s="1993" t="s">
        <v>784</v>
      </c>
      <c r="B106" s="1994"/>
      <c r="C106" s="1995">
        <f>C97+C98+C99+C100+C104</f>
        <v>4581.8544556098004</v>
      </c>
      <c r="D106" s="1995">
        <f>D97+D98+D99+D100+D104</f>
        <v>13109.711537338982</v>
      </c>
      <c r="E106" s="1996">
        <f>E97+E98+E99+E100+E104</f>
        <v>11164.5952</v>
      </c>
      <c r="F106" s="1995">
        <f>F97+F98+F99+F100+F104</f>
        <v>7702.916512499999</v>
      </c>
      <c r="G106" s="1995">
        <f>G97+G98+G99+G100+G104</f>
        <v>3851.4582562499995</v>
      </c>
      <c r="H106" s="1995">
        <f>H97+H98+H99+H100+H104+H105</f>
        <v>5417986.9123729989</v>
      </c>
      <c r="I106" s="1995">
        <f t="shared" ref="I106:L106" si="24">I97+I98+I99+I100+I104+I105</f>
        <v>9884824.7348771617</v>
      </c>
      <c r="J106" s="1995">
        <f t="shared" si="24"/>
        <v>17046227.649999999</v>
      </c>
      <c r="K106" s="1995">
        <f t="shared" si="24"/>
        <v>7702916.5124999993</v>
      </c>
      <c r="L106" s="1995">
        <f t="shared" si="24"/>
        <v>3851458.2562499996</v>
      </c>
    </row>
    <row r="108" spans="1:12">
      <c r="A108" s="1802" t="s">
        <v>1317</v>
      </c>
      <c r="B108" s="1802"/>
      <c r="C108" s="1802"/>
      <c r="D108" s="1802"/>
      <c r="H108" s="694"/>
      <c r="I108" s="694"/>
      <c r="J108" s="694"/>
      <c r="K108" s="694"/>
      <c r="L108" s="694"/>
    </row>
    <row r="115" spans="1:7">
      <c r="A115" s="1970" t="s">
        <v>1366</v>
      </c>
      <c r="B115" s="1971"/>
      <c r="C115" s="1971"/>
      <c r="D115" s="1971"/>
      <c r="E115" s="1971"/>
      <c r="F115" s="1972"/>
      <c r="G115" s="1971"/>
    </row>
  </sheetData>
  <mergeCells count="71">
    <mergeCell ref="P9:P15"/>
    <mergeCell ref="B61:B62"/>
    <mergeCell ref="B2:H2"/>
    <mergeCell ref="D63:D64"/>
    <mergeCell ref="E63:E64"/>
    <mergeCell ref="F63:F64"/>
    <mergeCell ref="F9:F10"/>
    <mergeCell ref="G9:G10"/>
    <mergeCell ref="H9:H10"/>
    <mergeCell ref="B21:C21"/>
    <mergeCell ref="D21:E21"/>
    <mergeCell ref="F21:G21"/>
    <mergeCell ref="G22:G23"/>
    <mergeCell ref="A18:G18"/>
    <mergeCell ref="A19:G19"/>
    <mergeCell ref="G63:G64"/>
    <mergeCell ref="A9:A10"/>
    <mergeCell ref="B9:B10"/>
    <mergeCell ref="C9:C10"/>
    <mergeCell ref="D9:D10"/>
    <mergeCell ref="E9:E10"/>
    <mergeCell ref="A88:A89"/>
    <mergeCell ref="B88:B89"/>
    <mergeCell ref="C88:C89"/>
    <mergeCell ref="D88:D89"/>
    <mergeCell ref="B22:B23"/>
    <mergeCell ref="C22:C23"/>
    <mergeCell ref="D22:D23"/>
    <mergeCell ref="A76:C76"/>
    <mergeCell ref="A63:A64"/>
    <mergeCell ref="B63:B64"/>
    <mergeCell ref="C63:C64"/>
    <mergeCell ref="A69:F69"/>
    <mergeCell ref="E22:E23"/>
    <mergeCell ref="F22:F23"/>
    <mergeCell ref="A102:A103"/>
    <mergeCell ref="B102:B103"/>
    <mergeCell ref="C102:C103"/>
    <mergeCell ref="D102:D103"/>
    <mergeCell ref="E102:E103"/>
    <mergeCell ref="H63:H64"/>
    <mergeCell ref="I63:I64"/>
    <mergeCell ref="H102:H103"/>
    <mergeCell ref="I102:I103"/>
    <mergeCell ref="E88:E89"/>
    <mergeCell ref="F88:F89"/>
    <mergeCell ref="G88:G89"/>
    <mergeCell ref="F102:F103"/>
    <mergeCell ref="G102:G103"/>
    <mergeCell ref="O23:O24"/>
    <mergeCell ref="J63:J64"/>
    <mergeCell ref="K63:K64"/>
    <mergeCell ref="L63:L64"/>
    <mergeCell ref="J22:K22"/>
    <mergeCell ref="L22:M22"/>
    <mergeCell ref="J102:J103"/>
    <mergeCell ref="K102:K103"/>
    <mergeCell ref="L102:L103"/>
    <mergeCell ref="I19:O20"/>
    <mergeCell ref="H69:L69"/>
    <mergeCell ref="H88:H89"/>
    <mergeCell ref="I88:I89"/>
    <mergeCell ref="J88:J89"/>
    <mergeCell ref="K88:K89"/>
    <mergeCell ref="L88:L89"/>
    <mergeCell ref="N22:O22"/>
    <mergeCell ref="J23:J24"/>
    <mergeCell ref="K23:K24"/>
    <mergeCell ref="L23:L24"/>
    <mergeCell ref="M23:M24"/>
    <mergeCell ref="N23:N24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9"/>
  <sheetViews>
    <sheetView topLeftCell="A9" workbookViewId="0">
      <selection activeCell="L48" sqref="L48"/>
    </sheetView>
  </sheetViews>
  <sheetFormatPr defaultRowHeight="15"/>
  <cols>
    <col min="1" max="1" width="17.7109375" customWidth="1"/>
    <col min="2" max="2" width="13.28515625" customWidth="1"/>
    <col min="3" max="3" width="14.28515625" customWidth="1"/>
    <col min="4" max="4" width="18.140625" customWidth="1"/>
    <col min="5" max="5" width="17.7109375" customWidth="1"/>
    <col min="6" max="6" width="17.28515625" customWidth="1"/>
  </cols>
  <sheetData>
    <row r="2" spans="1:9" ht="16.5" customHeight="1">
      <c r="A2" s="3618" t="s">
        <v>1283</v>
      </c>
      <c r="B2" s="3618"/>
      <c r="C2" s="3618"/>
      <c r="D2" s="3618"/>
      <c r="E2" s="3618"/>
      <c r="F2" s="3618"/>
    </row>
    <row r="3" spans="1:9">
      <c r="A3" s="3618"/>
      <c r="B3" s="3618"/>
      <c r="C3" s="3618"/>
      <c r="D3" s="3618"/>
      <c r="E3" s="3618"/>
      <c r="F3" s="3618"/>
    </row>
    <row r="4" spans="1:9">
      <c r="A4" s="3618"/>
      <c r="B4" s="3618"/>
      <c r="C4" s="3618"/>
      <c r="D4" s="3618"/>
      <c r="E4" s="3618"/>
      <c r="F4" s="3618"/>
    </row>
    <row r="5" spans="1:9">
      <c r="A5" s="3618"/>
      <c r="B5" s="3618"/>
      <c r="C5" s="3618"/>
      <c r="D5" s="3618"/>
      <c r="E5" s="3618"/>
      <c r="F5" s="3618"/>
    </row>
    <row r="6" spans="1:9">
      <c r="A6" s="3618"/>
      <c r="B6" s="3618"/>
      <c r="C6" s="3618"/>
      <c r="D6" s="3618"/>
      <c r="E6" s="3618"/>
      <c r="F6" s="3618"/>
    </row>
    <row r="7" spans="1:9">
      <c r="A7" s="3618"/>
      <c r="B7" s="3618"/>
      <c r="C7" s="3618"/>
      <c r="D7" s="3618"/>
      <c r="E7" s="3618"/>
      <c r="F7" s="3618"/>
    </row>
    <row r="8" spans="1:9">
      <c r="A8" s="3618"/>
      <c r="B8" s="3618"/>
      <c r="C8" s="3618"/>
      <c r="D8" s="3618"/>
      <c r="E8" s="3618"/>
      <c r="F8" s="3618"/>
    </row>
    <row r="9" spans="1:9">
      <c r="A9" s="3618"/>
      <c r="B9" s="3618"/>
      <c r="C9" s="3618"/>
      <c r="D9" s="3618"/>
      <c r="E9" s="3618"/>
      <c r="F9" s="3618"/>
    </row>
    <row r="10" spans="1:9">
      <c r="A10" s="3618"/>
      <c r="B10" s="3618"/>
      <c r="C10" s="3618"/>
      <c r="D10" s="3618"/>
      <c r="E10" s="3618"/>
      <c r="F10" s="3618"/>
    </row>
    <row r="11" spans="1:9">
      <c r="A11" s="3618"/>
      <c r="B11" s="3618"/>
      <c r="C11" s="3618"/>
      <c r="D11" s="3618"/>
      <c r="E11" s="3618"/>
      <c r="F11" s="3618"/>
    </row>
    <row r="12" spans="1:9">
      <c r="A12" s="3618"/>
      <c r="B12" s="3618"/>
      <c r="C12" s="3618"/>
      <c r="D12" s="3618"/>
      <c r="E12" s="3618"/>
      <c r="F12" s="3618"/>
    </row>
    <row r="13" spans="1:9">
      <c r="A13" s="3618"/>
      <c r="B13" s="3618"/>
      <c r="C13" s="3618"/>
      <c r="D13" s="3618"/>
      <c r="E13" s="3618"/>
      <c r="F13" s="3618"/>
    </row>
    <row r="15" spans="1:9">
      <c r="A15" s="1252" t="s">
        <v>1284</v>
      </c>
      <c r="B15" s="1252"/>
      <c r="C15" s="1252"/>
      <c r="D15" s="1252"/>
      <c r="E15" s="1252"/>
      <c r="F15" s="1252"/>
      <c r="G15" s="1204"/>
      <c r="H15" s="1204"/>
      <c r="I15" s="1204"/>
    </row>
    <row r="16" spans="1:9">
      <c r="A16" s="1204" t="s">
        <v>1293</v>
      </c>
      <c r="B16" s="1204"/>
      <c r="C16" s="1204"/>
      <c r="D16" s="1204"/>
      <c r="E16" s="1204"/>
      <c r="F16" s="1204"/>
      <c r="G16" s="1204"/>
      <c r="H16" s="1204"/>
      <c r="I16" s="1204"/>
    </row>
    <row r="17" spans="1:9">
      <c r="A17" s="1204"/>
      <c r="B17" s="1204"/>
      <c r="C17" s="1204"/>
      <c r="D17" s="1204"/>
      <c r="E17" s="1204"/>
      <c r="F17" s="1204"/>
      <c r="G17" s="1204"/>
      <c r="H17" s="1204"/>
      <c r="I17" s="1204"/>
    </row>
    <row r="18" spans="1:9">
      <c r="A18" s="1206"/>
      <c r="B18" s="1782">
        <v>2014</v>
      </c>
      <c r="C18" s="1782">
        <v>2015</v>
      </c>
      <c r="D18" s="1782">
        <v>2016</v>
      </c>
      <c r="E18" s="1782">
        <v>2017</v>
      </c>
      <c r="F18" s="1782">
        <v>2018</v>
      </c>
      <c r="G18" s="1204"/>
      <c r="H18" s="1204"/>
      <c r="I18" s="1204"/>
    </row>
    <row r="19" spans="1:9">
      <c r="A19" s="1206" t="s">
        <v>1287</v>
      </c>
      <c r="B19" s="1205"/>
      <c r="C19" s="1205"/>
      <c r="D19" s="1205"/>
      <c r="E19" s="1205"/>
      <c r="F19" s="1205"/>
      <c r="G19" s="1204"/>
      <c r="H19" s="1204"/>
      <c r="I19" s="1204"/>
    </row>
    <row r="20" spans="1:9">
      <c r="A20" s="1781" t="s">
        <v>1289</v>
      </c>
      <c r="B20" s="1780">
        <f>7*503.82</f>
        <v>3526.74</v>
      </c>
      <c r="C20" s="1780">
        <f>B20</f>
        <v>3526.74</v>
      </c>
      <c r="D20" s="1780">
        <f>C20*1.045</f>
        <v>3685.4432999999995</v>
      </c>
      <c r="E20" s="1780">
        <f>D20*1.043</f>
        <v>3843.9173618999994</v>
      </c>
      <c r="F20" s="1257">
        <f>E20*1.043</f>
        <v>4009.2058084616992</v>
      </c>
      <c r="G20" s="1204"/>
      <c r="H20" s="1204"/>
      <c r="I20" s="1204"/>
    </row>
    <row r="21" spans="1:9">
      <c r="A21" s="1205" t="s">
        <v>1286</v>
      </c>
      <c r="B21" s="1780"/>
      <c r="C21" s="1780"/>
      <c r="D21" s="1780"/>
      <c r="E21" s="1780"/>
      <c r="F21" s="1205"/>
      <c r="G21" s="1204"/>
      <c r="H21" s="1204"/>
      <c r="I21" s="1204"/>
    </row>
    <row r="22" spans="1:9">
      <c r="A22" s="1206" t="s">
        <v>1288</v>
      </c>
      <c r="B22" s="1780"/>
      <c r="C22" s="1780"/>
      <c r="D22" s="1780"/>
      <c r="E22" s="1780"/>
      <c r="F22" s="1205"/>
      <c r="G22" s="1204"/>
      <c r="H22" s="1204"/>
      <c r="I22" s="1204"/>
    </row>
    <row r="23" spans="1:9">
      <c r="A23" s="1205" t="s">
        <v>1290</v>
      </c>
      <c r="B23" s="1780"/>
      <c r="C23" s="1780">
        <f>4017.6</f>
        <v>4017.6</v>
      </c>
      <c r="D23" s="1780">
        <f>C23*1.045</f>
        <v>4198.3919999999998</v>
      </c>
      <c r="E23" s="1780">
        <f>D23*1.043</f>
        <v>4378.9228559999992</v>
      </c>
      <c r="F23" s="1257">
        <f>E23*1.043</f>
        <v>4567.2165388079993</v>
      </c>
      <c r="G23" s="1204"/>
      <c r="H23" s="1204"/>
      <c r="I23" s="1204"/>
    </row>
    <row r="24" spans="1:9">
      <c r="A24" s="1206" t="s">
        <v>1291</v>
      </c>
      <c r="B24" s="1205"/>
      <c r="C24" s="1205"/>
      <c r="D24" s="1205"/>
      <c r="E24" s="1205"/>
      <c r="F24" s="1205"/>
      <c r="G24" s="1204"/>
      <c r="H24" s="1204"/>
      <c r="I24" s="1204"/>
    </row>
    <row r="25" spans="1:9">
      <c r="A25" s="1205" t="s">
        <v>1292</v>
      </c>
      <c r="B25" s="1205"/>
      <c r="C25" s="1257"/>
      <c r="D25" s="1257">
        <f t="shared" ref="D25:F25" si="0">D20</f>
        <v>3685.4432999999995</v>
      </c>
      <c r="E25" s="1257">
        <f t="shared" si="0"/>
        <v>3843.9173618999994</v>
      </c>
      <c r="F25" s="1257">
        <f t="shared" si="0"/>
        <v>4009.2058084616992</v>
      </c>
      <c r="G25" s="1204"/>
      <c r="H25" s="1204"/>
      <c r="I25" s="1204"/>
    </row>
    <row r="26" spans="1:9">
      <c r="A26" s="1205"/>
      <c r="B26" s="1205"/>
      <c r="C26" s="1205"/>
      <c r="D26" s="1205"/>
      <c r="E26" s="1205"/>
      <c r="F26" s="1205"/>
      <c r="G26" s="1204"/>
      <c r="H26" s="1204"/>
      <c r="I26" s="1204"/>
    </row>
    <row r="27" spans="1:9">
      <c r="A27" s="1206" t="s">
        <v>1244</v>
      </c>
      <c r="B27" s="1261">
        <f>SUM(B20:B26)</f>
        <v>3526.74</v>
      </c>
      <c r="C27" s="1261">
        <f t="shared" ref="C27:F27" si="1">SUM(C20:C26)</f>
        <v>7544.34</v>
      </c>
      <c r="D27" s="1261">
        <f t="shared" si="1"/>
        <v>11569.278599999998</v>
      </c>
      <c r="E27" s="1261">
        <f t="shared" si="1"/>
        <v>12066.757579799998</v>
      </c>
      <c r="F27" s="1261">
        <f t="shared" si="1"/>
        <v>12585.628155731396</v>
      </c>
      <c r="G27" s="1204"/>
      <c r="H27" s="1204"/>
      <c r="I27" s="1204"/>
    </row>
    <row r="28" spans="1:9">
      <c r="A28" s="1204"/>
      <c r="B28" s="1204"/>
      <c r="C28" s="1204"/>
      <c r="D28" s="1204"/>
      <c r="E28" s="1204"/>
      <c r="F28" s="1204"/>
      <c r="G28" s="1204"/>
      <c r="H28" s="1204"/>
      <c r="I28" s="1204"/>
    </row>
    <row r="29" spans="1:9">
      <c r="A29" s="1204"/>
      <c r="B29" s="1204"/>
      <c r="C29" s="1204"/>
      <c r="D29" s="1204"/>
      <c r="E29" s="1204"/>
      <c r="F29" s="1204"/>
      <c r="G29" s="1204"/>
      <c r="H29" s="1204"/>
      <c r="I29" s="1204"/>
    </row>
    <row r="30" spans="1:9">
      <c r="A30" s="1204" t="s">
        <v>1294</v>
      </c>
      <c r="B30" s="1204"/>
      <c r="C30" s="1204"/>
      <c r="D30" s="1204" t="s">
        <v>1295</v>
      </c>
      <c r="E30" s="1204"/>
      <c r="F30" s="1204"/>
      <c r="G30" s="1204"/>
      <c r="H30" s="1204"/>
      <c r="I30" s="1204"/>
    </row>
    <row r="33" spans="1:6">
      <c r="A33" s="1548" t="s">
        <v>1549</v>
      </c>
      <c r="B33" s="1548"/>
      <c r="C33" s="1548"/>
      <c r="D33" s="1548"/>
      <c r="E33" s="1548"/>
      <c r="F33" s="1548"/>
    </row>
    <row r="34" spans="1:6">
      <c r="A34" s="1252" t="s">
        <v>1284</v>
      </c>
      <c r="B34" s="1252"/>
      <c r="C34" s="1252"/>
      <c r="D34" s="1252"/>
      <c r="E34" s="1252"/>
      <c r="F34" s="1252"/>
    </row>
    <row r="35" spans="1:6">
      <c r="A35" s="1204" t="s">
        <v>1293</v>
      </c>
      <c r="B35" s="1204"/>
      <c r="C35" s="1204"/>
      <c r="D35" s="1204"/>
      <c r="E35" s="1204"/>
      <c r="F35" s="1204"/>
    </row>
    <row r="36" spans="1:6">
      <c r="A36" s="1204"/>
      <c r="B36" s="1204"/>
      <c r="C36" s="1204"/>
      <c r="D36" s="1204"/>
      <c r="E36" s="1204"/>
      <c r="F36" s="1204"/>
    </row>
    <row r="37" spans="1:6">
      <c r="A37" s="1206"/>
      <c r="B37" s="1782">
        <v>2014</v>
      </c>
      <c r="C37" s="1782">
        <v>2015</v>
      </c>
      <c r="D37" s="1782">
        <v>2016</v>
      </c>
      <c r="E37" s="1782">
        <v>2017</v>
      </c>
      <c r="F37" s="1782">
        <v>2018</v>
      </c>
    </row>
    <row r="38" spans="1:6">
      <c r="A38" s="1206" t="s">
        <v>1287</v>
      </c>
      <c r="B38" s="1205"/>
      <c r="C38" s="1205"/>
      <c r="D38" s="1205"/>
      <c r="E38" s="1205"/>
      <c r="F38" s="1205"/>
    </row>
    <row r="39" spans="1:6">
      <c r="A39" s="1781" t="s">
        <v>1289</v>
      </c>
      <c r="B39" s="1780">
        <f>7*503.82</f>
        <v>3526.74</v>
      </c>
      <c r="C39" s="1780">
        <f>B39</f>
        <v>3526.74</v>
      </c>
      <c r="D39" s="1780">
        <f>C39*1.045</f>
        <v>3685.4432999999995</v>
      </c>
      <c r="E39" s="1780">
        <f>D39*1.043</f>
        <v>3843.9173618999994</v>
      </c>
      <c r="F39" s="1257">
        <f>E39*1.043</f>
        <v>4009.2058084616992</v>
      </c>
    </row>
    <row r="40" spans="1:6">
      <c r="A40" s="1205" t="s">
        <v>1286</v>
      </c>
      <c r="B40" s="1780"/>
      <c r="C40" s="1780"/>
      <c r="D40" s="1780"/>
      <c r="E40" s="1780"/>
      <c r="F40" s="1205"/>
    </row>
    <row r="41" spans="1:6">
      <c r="A41" s="1206" t="s">
        <v>1288</v>
      </c>
      <c r="B41" s="1780"/>
      <c r="C41" s="1780"/>
      <c r="D41" s="1780"/>
      <c r="E41" s="1780"/>
      <c r="F41" s="1205"/>
    </row>
    <row r="42" spans="1:6">
      <c r="A42" s="1205" t="s">
        <v>1290</v>
      </c>
      <c r="B42" s="1780"/>
      <c r="C42" s="1780">
        <f>4017.6</f>
        <v>4017.6</v>
      </c>
      <c r="D42" s="1780">
        <f>C42*1.045</f>
        <v>4198.3919999999998</v>
      </c>
      <c r="E42" s="1780">
        <f>D42*1.043</f>
        <v>4378.9228559999992</v>
      </c>
      <c r="F42" s="1257">
        <f>E42*1.043</f>
        <v>4567.2165388079993</v>
      </c>
    </row>
    <row r="43" spans="1:6">
      <c r="A43" s="1205" t="s">
        <v>1550</v>
      </c>
      <c r="B43" s="1780"/>
      <c r="C43" s="1780"/>
      <c r="D43" s="1780"/>
      <c r="E43" s="1780"/>
      <c r="F43" s="1257"/>
    </row>
    <row r="44" spans="1:6">
      <c r="A44" s="1205" t="s">
        <v>1551</v>
      </c>
      <c r="B44" s="1780"/>
      <c r="C44" s="1780">
        <v>256063.71</v>
      </c>
      <c r="D44" s="1780">
        <f>124709.66*12</f>
        <v>1496515.92</v>
      </c>
      <c r="E44" s="1780">
        <f>D44</f>
        <v>1496515.92</v>
      </c>
      <c r="F44" s="1257">
        <f>E44</f>
        <v>1496515.92</v>
      </c>
    </row>
    <row r="45" spans="1:6">
      <c r="A45" s="1206" t="s">
        <v>1291</v>
      </c>
      <c r="B45" s="1205"/>
      <c r="C45" s="1205"/>
      <c r="D45" s="1205"/>
      <c r="E45" s="1205"/>
      <c r="F45" s="1205"/>
    </row>
    <row r="46" spans="1:6">
      <c r="A46" s="1205" t="s">
        <v>1292</v>
      </c>
      <c r="B46" s="1205"/>
      <c r="C46" s="1257"/>
      <c r="D46" s="1257">
        <f t="shared" ref="D46:F46" si="2">D39</f>
        <v>3685.4432999999995</v>
      </c>
      <c r="E46" s="1257">
        <f t="shared" si="2"/>
        <v>3843.9173618999994</v>
      </c>
      <c r="F46" s="1257">
        <f t="shared" si="2"/>
        <v>4009.2058084616992</v>
      </c>
    </row>
    <row r="47" spans="1:6">
      <c r="A47" s="1205"/>
      <c r="B47" s="1205"/>
      <c r="C47" s="1205"/>
      <c r="D47" s="1205"/>
      <c r="E47" s="1205"/>
      <c r="F47" s="1205"/>
    </row>
    <row r="48" spans="1:6">
      <c r="A48" s="1206" t="s">
        <v>1244</v>
      </c>
      <c r="B48" s="1261">
        <f>SUM(B39:B47)</f>
        <v>3526.74</v>
      </c>
      <c r="C48" s="1261">
        <f t="shared" ref="C48:F48" si="3">SUM(C39:C47)</f>
        <v>263608.05</v>
      </c>
      <c r="D48" s="1261">
        <f>SUM(D39:D47)</f>
        <v>1508085.1985999998</v>
      </c>
      <c r="E48" s="1261">
        <f t="shared" si="3"/>
        <v>1508582.6775797999</v>
      </c>
      <c r="F48" s="1261">
        <f t="shared" si="3"/>
        <v>1509101.5481557313</v>
      </c>
    </row>
    <row r="49" spans="1:6">
      <c r="A49" s="1204"/>
      <c r="B49" s="1204"/>
      <c r="C49" s="1204"/>
      <c r="D49" s="1204"/>
      <c r="E49" s="1204"/>
      <c r="F49" s="1204"/>
    </row>
  </sheetData>
  <mergeCells count="1">
    <mergeCell ref="A2:F1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26"/>
  <sheetViews>
    <sheetView topLeftCell="A40" zoomScale="80" zoomScaleNormal="80" workbookViewId="0">
      <selection activeCell="E20" sqref="E20"/>
    </sheetView>
  </sheetViews>
  <sheetFormatPr defaultRowHeight="15"/>
  <cols>
    <col min="1" max="1" width="35.140625" style="658" customWidth="1"/>
    <col min="2" max="2" width="20.28515625" style="658" customWidth="1"/>
    <col min="3" max="3" width="22.7109375" style="658" customWidth="1"/>
    <col min="4" max="4" width="17.28515625" style="658" customWidth="1"/>
    <col min="5" max="5" width="18.28515625" style="658" customWidth="1"/>
    <col min="6" max="6" width="19" style="658" customWidth="1"/>
    <col min="7" max="7" width="19.42578125" style="658" customWidth="1"/>
    <col min="8" max="8" width="17.7109375" style="658" customWidth="1"/>
    <col min="9" max="9" width="18.42578125" style="658" customWidth="1"/>
    <col min="10" max="10" width="18.140625" style="658" customWidth="1"/>
    <col min="11" max="11" width="18.5703125" style="658" customWidth="1"/>
    <col min="12" max="12" width="16.28515625" style="658" customWidth="1"/>
    <col min="13" max="13" width="16.42578125" style="658" customWidth="1"/>
    <col min="14" max="14" width="9.140625" style="658" customWidth="1"/>
    <col min="15" max="15" width="11.7109375" style="658" customWidth="1"/>
    <col min="16" max="16" width="12.42578125" style="658" customWidth="1"/>
    <col min="17" max="16384" width="9.140625" style="658"/>
  </cols>
  <sheetData>
    <row r="1" spans="3:9" ht="26.25" customHeight="1">
      <c r="C1" s="3622" t="s">
        <v>954</v>
      </c>
      <c r="D1" s="3622"/>
      <c r="E1" s="3622"/>
      <c r="F1" s="3622"/>
      <c r="G1" s="3622"/>
      <c r="H1" s="3622"/>
      <c r="I1" s="3622"/>
    </row>
    <row r="2" spans="3:9" ht="21.75" customHeight="1">
      <c r="C2" s="3621" t="s">
        <v>1168</v>
      </c>
      <c r="D2" s="3621"/>
      <c r="E2" s="3621"/>
      <c r="F2" s="3621"/>
      <c r="G2" s="3621"/>
      <c r="H2" s="3621"/>
      <c r="I2" s="3621"/>
    </row>
    <row r="3" spans="3:9">
      <c r="C3" s="1514"/>
    </row>
    <row r="4" spans="3:9">
      <c r="C4" s="1514"/>
      <c r="D4" s="3620" t="s">
        <v>1112</v>
      </c>
      <c r="E4" s="3620"/>
      <c r="F4" s="3620" t="s">
        <v>1113</v>
      </c>
      <c r="G4" s="3620"/>
      <c r="H4" s="3620" t="s">
        <v>1114</v>
      </c>
      <c r="I4" s="3620"/>
    </row>
    <row r="5" spans="3:9">
      <c r="C5" s="1514"/>
      <c r="D5" s="1491" t="s">
        <v>1116</v>
      </c>
      <c r="E5" s="1491" t="s">
        <v>1117</v>
      </c>
      <c r="F5" s="1491" t="s">
        <v>1116</v>
      </c>
      <c r="G5" s="1491" t="s">
        <v>1117</v>
      </c>
      <c r="H5" s="1491" t="s">
        <v>1116</v>
      </c>
      <c r="I5" s="1491" t="s">
        <v>1117</v>
      </c>
    </row>
    <row r="6" spans="3:9">
      <c r="C6" s="1514"/>
      <c r="D6" s="1493">
        <v>5834231.2800000003</v>
      </c>
      <c r="E6" s="1494"/>
      <c r="F6" s="1493">
        <v>306469624.25999999</v>
      </c>
      <c r="G6" s="1493">
        <v>354156900.41000003</v>
      </c>
      <c r="H6" s="1494"/>
      <c r="I6" s="1493">
        <v>41853044.869999997</v>
      </c>
    </row>
    <row r="7" spans="3:9">
      <c r="C7" s="1495" t="s">
        <v>1157</v>
      </c>
      <c r="D7" s="1494"/>
      <c r="E7" s="1493">
        <v>4503918</v>
      </c>
      <c r="F7" s="1493">
        <v>46489689</v>
      </c>
      <c r="G7" s="1493">
        <v>45316140</v>
      </c>
      <c r="H7" s="1494"/>
      <c r="I7" s="1493">
        <v>3330369</v>
      </c>
    </row>
    <row r="8" spans="3:9" ht="24">
      <c r="C8" s="1496" t="s">
        <v>1158</v>
      </c>
      <c r="D8" s="1497"/>
      <c r="E8" s="1498">
        <v>4314573</v>
      </c>
      <c r="F8" s="1498">
        <v>44768107</v>
      </c>
      <c r="G8" s="1498">
        <v>43667995</v>
      </c>
      <c r="H8" s="1497"/>
      <c r="I8" s="1498">
        <v>3214461</v>
      </c>
    </row>
    <row r="9" spans="3:9" ht="48">
      <c r="C9" s="1496" t="s">
        <v>1159</v>
      </c>
      <c r="D9" s="1497"/>
      <c r="E9" s="1498">
        <v>189345</v>
      </c>
      <c r="F9" s="1498">
        <v>1721582</v>
      </c>
      <c r="G9" s="1498">
        <v>1648145</v>
      </c>
      <c r="H9" s="1497"/>
      <c r="I9" s="1498">
        <v>115908</v>
      </c>
    </row>
    <row r="10" spans="3:9">
      <c r="C10" s="1495" t="s">
        <v>1160</v>
      </c>
      <c r="D10" s="1493">
        <v>24890340.280000001</v>
      </c>
      <c r="E10" s="1494"/>
      <c r="F10" s="1493">
        <v>167631885.56999999</v>
      </c>
      <c r="G10" s="1493">
        <v>219755296.46000001</v>
      </c>
      <c r="H10" s="1494"/>
      <c r="I10" s="1493">
        <v>27233070.609999999</v>
      </c>
    </row>
    <row r="11" spans="3:9" ht="24">
      <c r="C11" s="1496" t="s">
        <v>1158</v>
      </c>
      <c r="D11" s="1498">
        <v>24890340.280000001</v>
      </c>
      <c r="E11" s="1497"/>
      <c r="F11" s="1498">
        <v>167631885.56999999</v>
      </c>
      <c r="G11" s="1498">
        <v>219755296.46000001</v>
      </c>
      <c r="H11" s="1497"/>
      <c r="I11" s="1498">
        <v>27233070.609999999</v>
      </c>
    </row>
    <row r="12" spans="3:9">
      <c r="C12" s="1495" t="s">
        <v>1161</v>
      </c>
      <c r="D12" s="1494"/>
      <c r="E12" s="1493">
        <v>8514830</v>
      </c>
      <c r="F12" s="1493">
        <v>57278284.619999997</v>
      </c>
      <c r="G12" s="1493">
        <v>53186321.619999997</v>
      </c>
      <c r="H12" s="1494"/>
      <c r="I12" s="1493">
        <v>4422867</v>
      </c>
    </row>
    <row r="13" spans="3:9">
      <c r="C13" s="1499" t="s">
        <v>1162</v>
      </c>
      <c r="D13" s="1494"/>
      <c r="E13" s="1493">
        <v>8514830</v>
      </c>
      <c r="F13" s="1493">
        <v>23276925.399999999</v>
      </c>
      <c r="G13" s="1493">
        <v>19184962.399999999</v>
      </c>
      <c r="H13" s="1494"/>
      <c r="I13" s="1493">
        <v>4422867</v>
      </c>
    </row>
    <row r="14" spans="3:9" ht="24">
      <c r="C14" s="1500" t="s">
        <v>1158</v>
      </c>
      <c r="D14" s="1497"/>
      <c r="E14" s="1498">
        <v>8514830</v>
      </c>
      <c r="F14" s="1498">
        <v>23276925.399999999</v>
      </c>
      <c r="G14" s="1498">
        <v>19184962.399999999</v>
      </c>
      <c r="H14" s="1497"/>
      <c r="I14" s="1498">
        <v>4422867</v>
      </c>
    </row>
    <row r="15" spans="3:9">
      <c r="C15" s="1499" t="s">
        <v>1163</v>
      </c>
      <c r="D15" s="1494"/>
      <c r="E15" s="1494"/>
      <c r="F15" s="1493">
        <v>34001359.219999999</v>
      </c>
      <c r="G15" s="1493">
        <v>34001359.219999999</v>
      </c>
      <c r="H15" s="1494"/>
      <c r="I15" s="1494"/>
    </row>
    <row r="16" spans="3:9">
      <c r="C16" s="1495" t="s">
        <v>1164</v>
      </c>
      <c r="D16" s="1494"/>
      <c r="E16" s="1493">
        <v>144407</v>
      </c>
      <c r="F16" s="1493">
        <v>575427</v>
      </c>
      <c r="G16" s="1493">
        <v>616207</v>
      </c>
      <c r="H16" s="1494"/>
      <c r="I16" s="1493">
        <v>185187</v>
      </c>
    </row>
    <row r="17" spans="3:9" ht="24">
      <c r="C17" s="1496" t="s">
        <v>1158</v>
      </c>
      <c r="D17" s="1497"/>
      <c r="E17" s="1498">
        <v>144407</v>
      </c>
      <c r="F17" s="1498">
        <v>573672</v>
      </c>
      <c r="G17" s="1498">
        <v>614452</v>
      </c>
      <c r="H17" s="1497"/>
      <c r="I17" s="1498">
        <v>185187</v>
      </c>
    </row>
    <row r="18" spans="3:9" ht="48">
      <c r="C18" s="1496" t="s">
        <v>1159</v>
      </c>
      <c r="D18" s="1497"/>
      <c r="E18" s="1497"/>
      <c r="F18" s="1498">
        <v>1755</v>
      </c>
      <c r="G18" s="1498">
        <v>1755</v>
      </c>
      <c r="H18" s="1497"/>
      <c r="I18" s="1497"/>
    </row>
    <row r="19" spans="3:9">
      <c r="C19" s="1495" t="s">
        <v>1165</v>
      </c>
      <c r="D19" s="1494"/>
      <c r="E19" s="1493">
        <v>5494636</v>
      </c>
      <c r="F19" s="1493">
        <v>21947537</v>
      </c>
      <c r="G19" s="1493">
        <v>22113804</v>
      </c>
      <c r="H19" s="1494"/>
      <c r="I19" s="1493">
        <v>5660903</v>
      </c>
    </row>
    <row r="20" spans="3:9" ht="24">
      <c r="C20" s="1496" t="s">
        <v>1183</v>
      </c>
      <c r="D20" s="1497"/>
      <c r="E20" s="1498">
        <v>5494636</v>
      </c>
      <c r="F20" s="1498">
        <v>21947537</v>
      </c>
      <c r="G20" s="1498">
        <v>22113804</v>
      </c>
      <c r="H20" s="1497"/>
      <c r="I20" s="1498">
        <v>5660903</v>
      </c>
    </row>
    <row r="21" spans="3:9">
      <c r="C21" s="1495" t="s">
        <v>1166</v>
      </c>
      <c r="D21" s="1494"/>
      <c r="E21" s="1493">
        <v>398318</v>
      </c>
      <c r="F21" s="1493">
        <v>12546801.07</v>
      </c>
      <c r="G21" s="1493">
        <v>13169131.33</v>
      </c>
      <c r="H21" s="1494"/>
      <c r="I21" s="1493">
        <v>1020648.26</v>
      </c>
    </row>
    <row r="22" spans="3:9" ht="24">
      <c r="C22" s="1496" t="s">
        <v>1158</v>
      </c>
      <c r="D22" s="1497"/>
      <c r="E22" s="1498">
        <v>398318</v>
      </c>
      <c r="F22" s="1498">
        <v>12546518.710000001</v>
      </c>
      <c r="G22" s="1498">
        <v>13148783.630000001</v>
      </c>
      <c r="H22" s="1497"/>
      <c r="I22" s="1498">
        <v>1000582.92</v>
      </c>
    </row>
    <row r="23" spans="3:9" ht="36">
      <c r="C23" s="1496" t="s">
        <v>1167</v>
      </c>
      <c r="D23" s="1497"/>
      <c r="E23" s="1497"/>
      <c r="F23" s="1501">
        <v>282.36</v>
      </c>
      <c r="G23" s="1498">
        <v>20347.7</v>
      </c>
      <c r="H23" s="1497"/>
      <c r="I23" s="1498">
        <v>20065.34</v>
      </c>
    </row>
    <row r="24" spans="3:9">
      <c r="C24" s="1502" t="s">
        <v>157</v>
      </c>
      <c r="D24" s="1503">
        <v>5834231.2800000003</v>
      </c>
      <c r="E24" s="1504"/>
      <c r="F24" s="1503">
        <v>306469624.25999999</v>
      </c>
      <c r="G24" s="1503">
        <v>354156900.41000003</v>
      </c>
      <c r="H24" s="1504"/>
      <c r="I24" s="1503">
        <v>41853044.869999997</v>
      </c>
    </row>
    <row r="26" spans="3:9" ht="74.25" customHeight="1"/>
    <row r="27" spans="3:9" ht="44.25" customHeight="1">
      <c r="C27" s="3622" t="s">
        <v>954</v>
      </c>
      <c r="D27" s="3622"/>
      <c r="E27" s="3622"/>
      <c r="F27" s="3622"/>
      <c r="G27" s="3622"/>
      <c r="H27" s="3622"/>
      <c r="I27" s="3622"/>
    </row>
    <row r="28" spans="3:9" ht="21.75" customHeight="1">
      <c r="C28" s="3628" t="s">
        <v>1178</v>
      </c>
      <c r="D28" s="3628"/>
      <c r="E28" s="3628"/>
      <c r="F28" s="3628"/>
      <c r="G28" s="3628"/>
      <c r="H28" s="3628"/>
      <c r="I28" s="3628"/>
    </row>
    <row r="29" spans="3:9">
      <c r="C29" s="1492" t="s">
        <v>1111</v>
      </c>
      <c r="D29" s="3620" t="s">
        <v>1112</v>
      </c>
      <c r="E29" s="3620"/>
      <c r="F29" s="3620" t="s">
        <v>1113</v>
      </c>
      <c r="G29" s="3620"/>
      <c r="H29" s="3620" t="s">
        <v>1114</v>
      </c>
      <c r="I29" s="3620"/>
    </row>
    <row r="30" spans="3:9" ht="25.5">
      <c r="C30" s="1492" t="s">
        <v>1169</v>
      </c>
      <c r="D30" s="3620" t="s">
        <v>1116</v>
      </c>
      <c r="E30" s="3620" t="s">
        <v>1117</v>
      </c>
      <c r="F30" s="3620" t="s">
        <v>1116</v>
      </c>
      <c r="G30" s="3620" t="s">
        <v>1117</v>
      </c>
      <c r="H30" s="3620" t="s">
        <v>1116</v>
      </c>
      <c r="I30" s="3620" t="s">
        <v>1117</v>
      </c>
    </row>
    <row r="31" spans="3:9">
      <c r="C31" s="1492" t="s">
        <v>1170</v>
      </c>
      <c r="D31" s="3620"/>
      <c r="E31" s="3620"/>
      <c r="F31" s="3620"/>
      <c r="G31" s="3620"/>
      <c r="H31" s="3620"/>
      <c r="I31" s="3620"/>
    </row>
    <row r="32" spans="3:9">
      <c r="C32" s="1492" t="s">
        <v>1171</v>
      </c>
      <c r="D32" s="3620"/>
      <c r="E32" s="3620"/>
      <c r="F32" s="3620"/>
      <c r="G32" s="3620"/>
      <c r="H32" s="3620"/>
      <c r="I32" s="3620"/>
    </row>
    <row r="33" spans="3:9">
      <c r="C33" s="1515" t="s">
        <v>1166</v>
      </c>
      <c r="D33" s="1494"/>
      <c r="E33" s="1493">
        <v>398318</v>
      </c>
      <c r="F33" s="1493">
        <v>12546801.07</v>
      </c>
      <c r="G33" s="1493">
        <v>13169131.33</v>
      </c>
      <c r="H33" s="1494"/>
      <c r="I33" s="1493">
        <v>1020648.26</v>
      </c>
    </row>
    <row r="34" spans="3:9" ht="24">
      <c r="C34" s="1516" t="s">
        <v>1158</v>
      </c>
      <c r="D34" s="1517"/>
      <c r="E34" s="1518">
        <v>398318</v>
      </c>
      <c r="F34" s="1518">
        <v>12546518.710000001</v>
      </c>
      <c r="G34" s="1518">
        <v>13148783.630000001</v>
      </c>
      <c r="H34" s="1517"/>
      <c r="I34" s="1518">
        <v>1000582.92</v>
      </c>
    </row>
    <row r="35" spans="3:9">
      <c r="C35" s="1519" t="s">
        <v>1172</v>
      </c>
      <c r="D35" s="1520"/>
      <c r="E35" s="1521">
        <v>398318</v>
      </c>
      <c r="F35" s="1521">
        <v>1623005</v>
      </c>
      <c r="G35" s="1521">
        <v>1637240</v>
      </c>
      <c r="H35" s="1520"/>
      <c r="I35" s="1521">
        <v>412553</v>
      </c>
    </row>
    <row r="36" spans="3:9">
      <c r="C36" s="1500" t="s">
        <v>1173</v>
      </c>
      <c r="D36" s="1497"/>
      <c r="E36" s="1498">
        <v>398318</v>
      </c>
      <c r="F36" s="1498">
        <v>1597405</v>
      </c>
      <c r="G36" s="1498">
        <v>1611640</v>
      </c>
      <c r="H36" s="1497"/>
      <c r="I36" s="1498">
        <v>412553</v>
      </c>
    </row>
    <row r="37" spans="3:9">
      <c r="C37" s="1500" t="s">
        <v>1174</v>
      </c>
      <c r="D37" s="1497"/>
      <c r="E37" s="1497"/>
      <c r="F37" s="1498">
        <v>25600</v>
      </c>
      <c r="G37" s="1498">
        <v>25600</v>
      </c>
      <c r="H37" s="1497"/>
      <c r="I37" s="1497"/>
    </row>
    <row r="38" spans="3:9">
      <c r="C38" s="1519" t="s">
        <v>1175</v>
      </c>
      <c r="D38" s="1520"/>
      <c r="E38" s="1520"/>
      <c r="F38" s="1521">
        <v>10923513.710000001</v>
      </c>
      <c r="G38" s="1521">
        <v>11511543.630000001</v>
      </c>
      <c r="H38" s="1520"/>
      <c r="I38" s="1521">
        <v>588029.92000000004</v>
      </c>
    </row>
    <row r="39" spans="3:9" ht="24">
      <c r="C39" s="1500" t="s">
        <v>1176</v>
      </c>
      <c r="D39" s="1497"/>
      <c r="E39" s="1497"/>
      <c r="F39" s="1498">
        <v>2900960.33</v>
      </c>
      <c r="G39" s="1498">
        <v>3443090.96</v>
      </c>
      <c r="H39" s="1497"/>
      <c r="I39" s="1498">
        <v>542130.63</v>
      </c>
    </row>
    <row r="40" spans="3:9" ht="24">
      <c r="C40" s="1500" t="s">
        <v>1177</v>
      </c>
      <c r="D40" s="1497"/>
      <c r="E40" s="1497"/>
      <c r="F40" s="1498">
        <v>6208505.5499999998</v>
      </c>
      <c r="G40" s="1498">
        <v>6254404.8399999999</v>
      </c>
      <c r="H40" s="1497"/>
      <c r="I40" s="1498">
        <v>45899.29</v>
      </c>
    </row>
    <row r="41" spans="3:9">
      <c r="C41" s="1500" t="s">
        <v>1174</v>
      </c>
      <c r="D41" s="1497"/>
      <c r="E41" s="1497"/>
      <c r="F41" s="1498">
        <v>1814047.83</v>
      </c>
      <c r="G41" s="1498">
        <v>1814047.83</v>
      </c>
      <c r="H41" s="1497"/>
      <c r="I41" s="1497"/>
    </row>
    <row r="42" spans="3:9" ht="36">
      <c r="C42" s="1516" t="s">
        <v>1167</v>
      </c>
      <c r="D42" s="1517"/>
      <c r="E42" s="1517"/>
      <c r="F42" s="1522">
        <v>282.36</v>
      </c>
      <c r="G42" s="1518">
        <v>20347.7</v>
      </c>
      <c r="H42" s="1517"/>
      <c r="I42" s="1518">
        <v>20065.34</v>
      </c>
    </row>
    <row r="43" spans="3:9">
      <c r="C43" s="1519" t="s">
        <v>1175</v>
      </c>
      <c r="D43" s="1520"/>
      <c r="E43" s="1520"/>
      <c r="F43" s="1523">
        <v>282.36</v>
      </c>
      <c r="G43" s="1521">
        <v>20347.7</v>
      </c>
      <c r="H43" s="1520"/>
      <c r="I43" s="1521">
        <v>20065.34</v>
      </c>
    </row>
    <row r="44" spans="3:9" ht="24">
      <c r="C44" s="1500" t="s">
        <v>1176</v>
      </c>
      <c r="D44" s="1497"/>
      <c r="E44" s="1497"/>
      <c r="F44" s="1497"/>
      <c r="G44" s="1498">
        <v>1188.1199999999999</v>
      </c>
      <c r="H44" s="1497"/>
      <c r="I44" s="1498">
        <v>1188.1199999999999</v>
      </c>
    </row>
    <row r="45" spans="3:9" ht="24">
      <c r="C45" s="1500" t="s">
        <v>1177</v>
      </c>
      <c r="D45" s="1497"/>
      <c r="E45" s="1497"/>
      <c r="F45" s="1501">
        <v>282.36</v>
      </c>
      <c r="G45" s="1498">
        <v>19159.580000000002</v>
      </c>
      <c r="H45" s="1497"/>
      <c r="I45" s="1498">
        <v>18877.22</v>
      </c>
    </row>
    <row r="46" spans="3:9">
      <c r="C46" s="1502" t="s">
        <v>157</v>
      </c>
      <c r="D46" s="1504"/>
      <c r="E46" s="1503">
        <v>398318</v>
      </c>
      <c r="F46" s="1503">
        <v>12546801.07</v>
      </c>
      <c r="G46" s="1503">
        <v>13169131.33</v>
      </c>
      <c r="H46" s="1504"/>
      <c r="I46" s="1503">
        <v>1020648.26</v>
      </c>
    </row>
    <row r="51" spans="1:18">
      <c r="C51" s="3622" t="s">
        <v>954</v>
      </c>
      <c r="D51" s="3622"/>
      <c r="E51" s="3622"/>
      <c r="F51" s="3622"/>
      <c r="G51" s="3622"/>
      <c r="H51" s="3622"/>
      <c r="I51" s="3622"/>
    </row>
    <row r="52" spans="1:18" ht="21.75" customHeight="1">
      <c r="C52" s="3621" t="s">
        <v>1180</v>
      </c>
      <c r="D52" s="3621"/>
      <c r="E52" s="3621"/>
      <c r="F52" s="3621"/>
      <c r="G52" s="3621"/>
      <c r="H52" s="3621"/>
      <c r="I52" s="3621"/>
    </row>
    <row r="53" spans="1:18">
      <c r="C53" s="1528"/>
      <c r="D53" s="1524"/>
      <c r="E53" s="1524"/>
      <c r="F53" s="1524"/>
      <c r="G53" s="1524"/>
      <c r="H53" s="1524"/>
      <c r="I53" s="1524"/>
    </row>
    <row r="54" spans="1:18">
      <c r="C54" s="1514"/>
      <c r="D54" s="3620" t="s">
        <v>1112</v>
      </c>
      <c r="E54" s="3620"/>
      <c r="F54" s="3620" t="s">
        <v>1113</v>
      </c>
      <c r="G54" s="3620"/>
      <c r="H54" s="3620" t="s">
        <v>1114</v>
      </c>
      <c r="I54" s="3620"/>
    </row>
    <row r="55" spans="1:18">
      <c r="C55" s="1492" t="s">
        <v>1115</v>
      </c>
      <c r="D55" s="3620" t="s">
        <v>1116</v>
      </c>
      <c r="E55" s="3620" t="s">
        <v>1117</v>
      </c>
      <c r="F55" s="3620" t="s">
        <v>1116</v>
      </c>
      <c r="G55" s="3620" t="s">
        <v>1117</v>
      </c>
      <c r="H55" s="3620" t="s">
        <v>1116</v>
      </c>
      <c r="I55" s="3620" t="s">
        <v>1117</v>
      </c>
    </row>
    <row r="56" spans="1:18">
      <c r="C56" s="1492" t="s">
        <v>1118</v>
      </c>
      <c r="D56" s="3620"/>
      <c r="E56" s="3620"/>
      <c r="F56" s="3620"/>
      <c r="G56" s="3620"/>
      <c r="H56" s="3620"/>
      <c r="I56" s="3620"/>
    </row>
    <row r="57" spans="1:18" ht="25.5">
      <c r="C57" s="1529" t="s">
        <v>1184</v>
      </c>
      <c r="D57" s="3629"/>
      <c r="E57" s="3629"/>
      <c r="F57" s="3629"/>
      <c r="G57" s="3629"/>
      <c r="H57" s="3629"/>
      <c r="I57" s="3629"/>
    </row>
    <row r="58" spans="1:18" ht="24">
      <c r="C58" s="1525" t="s">
        <v>1179</v>
      </c>
      <c r="D58" s="1526">
        <v>353201.32</v>
      </c>
      <c r="E58" s="1527"/>
      <c r="F58" s="1526">
        <v>3507466.34</v>
      </c>
      <c r="G58" s="1526">
        <v>4880491.08</v>
      </c>
      <c r="H58" s="1527"/>
      <c r="I58" s="1526">
        <v>1019823.42</v>
      </c>
    </row>
    <row r="63" spans="1:18">
      <c r="A63" s="726"/>
      <c r="B63" s="726"/>
      <c r="C63" s="727"/>
      <c r="D63" s="726"/>
      <c r="E63" s="728"/>
      <c r="F63" s="728"/>
      <c r="G63" s="730"/>
      <c r="H63" s="726"/>
      <c r="I63" s="729"/>
    </row>
    <row r="64" spans="1:18">
      <c r="A64" s="731"/>
      <c r="F64" s="732"/>
      <c r="L64" s="1505"/>
      <c r="M64" s="3619"/>
      <c r="N64" s="3619"/>
      <c r="O64" s="3619"/>
      <c r="P64" s="3619"/>
      <c r="Q64" s="3619"/>
      <c r="R64" s="3619"/>
    </row>
    <row r="65" spans="1:18">
      <c r="A65" s="733"/>
      <c r="F65" s="732"/>
      <c r="L65" s="1505"/>
      <c r="M65" s="1505"/>
      <c r="N65" s="1505"/>
      <c r="O65" s="1505"/>
      <c r="P65" s="1505"/>
      <c r="Q65" s="1505"/>
      <c r="R65" s="1505"/>
    </row>
    <row r="66" spans="1:18" ht="19.5" thickBot="1">
      <c r="A66" s="1450" t="s">
        <v>1279</v>
      </c>
      <c r="B66" s="1450"/>
      <c r="C66" s="711"/>
      <c r="D66" s="2018"/>
      <c r="E66" s="2019" t="s">
        <v>1390</v>
      </c>
      <c r="F66" s="2018"/>
      <c r="G66" s="2018"/>
      <c r="H66" s="2020"/>
      <c r="I66" s="2022" t="s">
        <v>1393</v>
      </c>
      <c r="J66" s="2020"/>
      <c r="K66" s="2020"/>
      <c r="L66" s="2021"/>
      <c r="M66" s="1506"/>
      <c r="N66" s="1507"/>
      <c r="O66" s="1506"/>
      <c r="P66" s="1506"/>
      <c r="Q66" s="1507"/>
      <c r="R66" s="1506"/>
    </row>
    <row r="67" spans="1:18" ht="64.5" customHeight="1">
      <c r="A67" s="1475" t="s">
        <v>1186</v>
      </c>
      <c r="B67" s="1476" t="s">
        <v>1061</v>
      </c>
      <c r="C67" s="1473" t="s">
        <v>780</v>
      </c>
      <c r="D67" s="1473" t="s">
        <v>781</v>
      </c>
      <c r="E67" s="1473" t="s">
        <v>782</v>
      </c>
      <c r="F67" s="1473" t="s">
        <v>783</v>
      </c>
      <c r="G67" s="1473" t="s">
        <v>1133</v>
      </c>
      <c r="H67" s="1473" t="s">
        <v>1391</v>
      </c>
      <c r="I67" s="1473" t="s">
        <v>1392</v>
      </c>
      <c r="J67" s="1473" t="s">
        <v>782</v>
      </c>
      <c r="K67" s="1473" t="s">
        <v>783</v>
      </c>
      <c r="L67" s="1473" t="s">
        <v>1133</v>
      </c>
      <c r="M67" s="1507"/>
      <c r="N67" s="1506"/>
      <c r="O67" s="1506"/>
      <c r="P67" s="1506"/>
      <c r="Q67" s="1507"/>
      <c r="R67" s="1506"/>
    </row>
    <row r="68" spans="1:18" ht="60.75" customHeight="1">
      <c r="A68" s="1530" t="s">
        <v>119</v>
      </c>
      <c r="B68" s="3627" t="s">
        <v>1187</v>
      </c>
      <c r="C68" s="2390">
        <f>G20/1000</f>
        <v>22113.804</v>
      </c>
      <c r="D68" s="734">
        <f>C68*1.05</f>
        <v>23219.494200000001</v>
      </c>
      <c r="E68" s="734">
        <f>D68*1.05</f>
        <v>24380.468910000003</v>
      </c>
      <c r="F68" s="2388">
        <f>E68*1.05</f>
        <v>25599.492355500006</v>
      </c>
      <c r="G68" s="2388">
        <f>F68*1.05</f>
        <v>26879.466973275008</v>
      </c>
      <c r="H68" s="2388">
        <v>11132.91</v>
      </c>
      <c r="I68" s="2388">
        <f>H68*2</f>
        <v>22265.82</v>
      </c>
      <c r="J68" s="2388">
        <f>E68</f>
        <v>24380.468910000003</v>
      </c>
      <c r="K68" s="2388">
        <f>F68</f>
        <v>25599.492355500006</v>
      </c>
      <c r="L68" s="2388">
        <f>G68</f>
        <v>26879.466973275008</v>
      </c>
      <c r="M68" s="1509"/>
      <c r="N68" s="1510"/>
      <c r="O68" s="1510"/>
      <c r="P68" s="1510"/>
      <c r="Q68" s="1509"/>
      <c r="R68" s="1510"/>
    </row>
    <row r="69" spans="1:18" ht="88.5" customHeight="1">
      <c r="A69" s="1530" t="s">
        <v>1510</v>
      </c>
      <c r="B69" s="3627"/>
      <c r="C69" s="2390"/>
      <c r="D69" s="734"/>
      <c r="E69" s="734"/>
      <c r="F69" s="2388"/>
      <c r="G69" s="2388"/>
      <c r="H69" s="2388"/>
      <c r="I69" s="2388">
        <f>I96+I113</f>
        <v>11788.358915666668</v>
      </c>
      <c r="J69" s="2388">
        <f t="shared" ref="J69:L69" si="0">J96+J113</f>
        <v>48499.681054000001</v>
      </c>
      <c r="K69" s="2388">
        <f t="shared" si="0"/>
        <v>42773.240994</v>
      </c>
      <c r="L69" s="2388">
        <f t="shared" si="0"/>
        <v>64663.347474000009</v>
      </c>
      <c r="M69" s="1509"/>
      <c r="N69" s="1510"/>
      <c r="O69" s="1510"/>
      <c r="P69" s="1510"/>
      <c r="Q69" s="1509"/>
      <c r="R69" s="1510"/>
    </row>
    <row r="70" spans="1:18" ht="42" customHeight="1">
      <c r="A70" s="1531" t="s">
        <v>1509</v>
      </c>
      <c r="B70" s="2392"/>
      <c r="C70" s="2393">
        <f>C68+C69</f>
        <v>22113.804</v>
      </c>
      <c r="D70" s="2393">
        <f t="shared" ref="D70:L70" si="1">D68+D69</f>
        <v>23219.494200000001</v>
      </c>
      <c r="E70" s="2393">
        <f t="shared" si="1"/>
        <v>24380.468910000003</v>
      </c>
      <c r="F70" s="2393">
        <f t="shared" si="1"/>
        <v>25599.492355500006</v>
      </c>
      <c r="G70" s="2393">
        <f t="shared" si="1"/>
        <v>26879.466973275008</v>
      </c>
      <c r="H70" s="2393">
        <f t="shared" si="1"/>
        <v>11132.91</v>
      </c>
      <c r="I70" s="2393">
        <f t="shared" si="1"/>
        <v>34054.178915666664</v>
      </c>
      <c r="J70" s="2393">
        <f>J68+J69</f>
        <v>72880.149964000011</v>
      </c>
      <c r="K70" s="2393">
        <f t="shared" si="1"/>
        <v>68372.733349500006</v>
      </c>
      <c r="L70" s="2393">
        <f t="shared" si="1"/>
        <v>91542.814447275014</v>
      </c>
      <c r="M70" s="1509"/>
      <c r="N70" s="1510"/>
      <c r="O70" s="1510"/>
      <c r="P70" s="1510"/>
      <c r="Q70" s="1509"/>
      <c r="R70" s="1510"/>
    </row>
    <row r="71" spans="1:18" ht="46.5" customHeight="1">
      <c r="A71" s="1530" t="s">
        <v>121</v>
      </c>
      <c r="B71" s="1447"/>
      <c r="C71" s="1474"/>
      <c r="D71" s="734"/>
      <c r="E71" s="734"/>
      <c r="F71" s="1479"/>
      <c r="G71" s="1479"/>
      <c r="H71" s="1999"/>
      <c r="I71" s="1999"/>
      <c r="J71" s="1999"/>
      <c r="K71" s="1999"/>
      <c r="L71" s="1999"/>
      <c r="M71" s="1509"/>
      <c r="N71" s="1510"/>
      <c r="O71" s="1510"/>
      <c r="P71" s="1510"/>
      <c r="Q71" s="1509"/>
      <c r="R71" s="1510"/>
    </row>
    <row r="72" spans="1:18" ht="24.75" customHeight="1">
      <c r="A72" s="1530" t="s">
        <v>1181</v>
      </c>
      <c r="B72" s="1447" t="s">
        <v>1188</v>
      </c>
      <c r="C72" s="1474">
        <f>G36/1000</f>
        <v>1611.64</v>
      </c>
      <c r="D72" s="734">
        <f>C72*1.01</f>
        <v>1627.7564000000002</v>
      </c>
      <c r="E72" s="734">
        <f>D72*1.01</f>
        <v>1644.0339640000002</v>
      </c>
      <c r="F72" s="1479">
        <f>E72*1.01</f>
        <v>1660.4743036400002</v>
      </c>
      <c r="G72" s="1479">
        <f>F72*1.01</f>
        <v>1677.0790466764004</v>
      </c>
      <c r="H72" s="1999">
        <v>969.375</v>
      </c>
      <c r="I72" s="1999">
        <f t="shared" ref="I72:I77" si="2">H72*2</f>
        <v>1938.75</v>
      </c>
      <c r="J72" s="1999">
        <f>I72*1.01</f>
        <v>1958.1375</v>
      </c>
      <c r="K72" s="1999">
        <f>J72*1.01</f>
        <v>1977.718875</v>
      </c>
      <c r="L72" s="1999">
        <f>K72*1.01</f>
        <v>1997.4960637500001</v>
      </c>
      <c r="M72" s="1506"/>
      <c r="N72" s="1507"/>
      <c r="O72" s="1506"/>
      <c r="P72" s="1506"/>
      <c r="Q72" s="1507"/>
      <c r="R72" s="1506"/>
    </row>
    <row r="73" spans="1:18" ht="75" customHeight="1">
      <c r="A73" s="1530" t="s">
        <v>1185</v>
      </c>
      <c r="B73" s="1447" t="s">
        <v>1189</v>
      </c>
      <c r="C73" s="1474">
        <v>4801.6000000000004</v>
      </c>
      <c r="D73" s="734">
        <f>4482.73+1383.5</f>
        <v>5866.23</v>
      </c>
      <c r="E73" s="734">
        <f>(5133785.2+1599667.3)/1000</f>
        <v>6733.4525000000003</v>
      </c>
      <c r="F73" s="1479">
        <f>5977.6+1845.4</f>
        <v>7823</v>
      </c>
      <c r="G73" s="1479">
        <f>6931+2116.8</f>
        <v>9047.7999999999993</v>
      </c>
      <c r="H73" s="1999">
        <f>H74</f>
        <v>3218.69</v>
      </c>
      <c r="I73" s="1999">
        <f t="shared" si="2"/>
        <v>6437.38</v>
      </c>
      <c r="J73" s="1999">
        <f>E73</f>
        <v>6733.4525000000003</v>
      </c>
      <c r="K73" s="1999">
        <f>F73</f>
        <v>7823</v>
      </c>
      <c r="L73" s="1999">
        <f>G73</f>
        <v>9047.7999999999993</v>
      </c>
      <c r="M73" s="1506"/>
      <c r="N73" s="1507"/>
      <c r="O73" s="1506"/>
      <c r="P73" s="1506"/>
      <c r="Q73" s="1507"/>
      <c r="R73" s="1506"/>
    </row>
    <row r="74" spans="1:18" ht="35.25" customHeight="1">
      <c r="A74" s="1531" t="s">
        <v>384</v>
      </c>
      <c r="B74" s="1447" t="s">
        <v>1190</v>
      </c>
      <c r="C74" s="1532">
        <f>C73-C75</f>
        <v>4725.1000000000004</v>
      </c>
      <c r="D74" s="734">
        <f>D73-D75</f>
        <v>5866.23</v>
      </c>
      <c r="E74" s="734">
        <f>E73</f>
        <v>6733.4525000000003</v>
      </c>
      <c r="F74" s="1479">
        <f>F73</f>
        <v>7823</v>
      </c>
      <c r="G74" s="1479">
        <f>G73</f>
        <v>9047.7999999999993</v>
      </c>
      <c r="H74" s="1999">
        <v>3218.69</v>
      </c>
      <c r="I74" s="1999">
        <f t="shared" si="2"/>
        <v>6437.38</v>
      </c>
      <c r="J74" s="1999">
        <f>E74</f>
        <v>6733.4525000000003</v>
      </c>
      <c r="K74" s="1999">
        <f>F73</f>
        <v>7823</v>
      </c>
      <c r="L74" s="1999">
        <f>G74</f>
        <v>9047.7999999999993</v>
      </c>
      <c r="M74" s="1510"/>
      <c r="N74" s="1509"/>
      <c r="O74" s="1510"/>
      <c r="P74" s="1510"/>
      <c r="Q74" s="1509"/>
      <c r="R74" s="1510"/>
    </row>
    <row r="75" spans="1:18">
      <c r="A75" s="1531" t="s">
        <v>1182</v>
      </c>
      <c r="B75" s="1447"/>
      <c r="C75" s="1533">
        <v>76.5</v>
      </c>
      <c r="D75" s="734">
        <v>0</v>
      </c>
      <c r="E75" s="734"/>
      <c r="F75" s="1479"/>
      <c r="G75" s="1479"/>
      <c r="H75" s="1999">
        <v>0</v>
      </c>
      <c r="I75" s="1999">
        <f t="shared" si="2"/>
        <v>0</v>
      </c>
      <c r="J75" s="1999">
        <v>0</v>
      </c>
      <c r="K75" s="1999">
        <v>0</v>
      </c>
      <c r="L75" s="1999">
        <v>0</v>
      </c>
      <c r="M75" s="1507"/>
      <c r="N75" s="1506"/>
      <c r="O75" s="1506"/>
      <c r="P75" s="1506"/>
      <c r="Q75" s="1507"/>
      <c r="R75" s="1506"/>
    </row>
    <row r="76" spans="1:18" ht="49.5" customHeight="1">
      <c r="A76" s="1530" t="s">
        <v>629</v>
      </c>
      <c r="B76" s="1447"/>
      <c r="C76" s="734">
        <v>9701.2199999999993</v>
      </c>
      <c r="D76" s="734">
        <f>C76</f>
        <v>9701.2199999999993</v>
      </c>
      <c r="E76" s="1474">
        <f>D76</f>
        <v>9701.2199999999993</v>
      </c>
      <c r="F76" s="734">
        <f>E76</f>
        <v>9701.2199999999993</v>
      </c>
      <c r="G76" s="734">
        <f>F76</f>
        <v>9701.2199999999993</v>
      </c>
      <c r="H76" s="734">
        <v>8006.1</v>
      </c>
      <c r="I76" s="734">
        <f t="shared" si="2"/>
        <v>16012.2</v>
      </c>
      <c r="J76" s="734">
        <f t="shared" ref="J76:L77" si="3">I76*1.01</f>
        <v>16172.322</v>
      </c>
      <c r="K76" s="734">
        <f t="shared" si="3"/>
        <v>16334.04522</v>
      </c>
      <c r="L76" s="734">
        <f t="shared" si="3"/>
        <v>16497.385672200002</v>
      </c>
      <c r="M76" s="1507"/>
      <c r="N76" s="1506"/>
      <c r="O76" s="1506"/>
      <c r="P76" s="1506"/>
      <c r="Q76" s="1507"/>
      <c r="R76" s="1506"/>
    </row>
    <row r="77" spans="1:18" ht="36.75" customHeight="1">
      <c r="A77" s="1530" t="s">
        <v>127</v>
      </c>
      <c r="B77" s="3627" t="s">
        <v>1191</v>
      </c>
      <c r="C77" s="734">
        <v>661</v>
      </c>
      <c r="D77" s="734">
        <f>C77*1.05</f>
        <v>694.05000000000007</v>
      </c>
      <c r="E77" s="1474">
        <f>D77*1.05</f>
        <v>728.75250000000005</v>
      </c>
      <c r="F77" s="734">
        <f>E77*1.05</f>
        <v>765.19012500000008</v>
      </c>
      <c r="G77" s="734">
        <f>F77*1.05</f>
        <v>803.44963125000015</v>
      </c>
      <c r="H77" s="734">
        <v>396.30700000000002</v>
      </c>
      <c r="I77" s="734">
        <f t="shared" si="2"/>
        <v>792.61400000000003</v>
      </c>
      <c r="J77" s="734">
        <f t="shared" si="3"/>
        <v>800.54014000000006</v>
      </c>
      <c r="K77" s="734">
        <f t="shared" si="3"/>
        <v>808.54554140000005</v>
      </c>
      <c r="L77" s="734">
        <f t="shared" si="3"/>
        <v>816.63099681400001</v>
      </c>
      <c r="M77" s="1509"/>
      <c r="N77" s="1510"/>
      <c r="O77" s="1510"/>
      <c r="P77" s="1510"/>
      <c r="Q77" s="1509"/>
      <c r="R77" s="1510"/>
    </row>
    <row r="78" spans="1:18" ht="38.25" hidden="1" customHeight="1">
      <c r="A78" s="1530" t="s">
        <v>773</v>
      </c>
      <c r="B78" s="3627"/>
      <c r="C78" s="734" t="e">
        <f>#REF!/2/1000</f>
        <v>#REF!</v>
      </c>
      <c r="D78" s="734"/>
      <c r="E78" s="1474"/>
      <c r="F78" s="734"/>
      <c r="G78" s="734"/>
      <c r="H78" s="734"/>
      <c r="I78" s="734"/>
      <c r="J78" s="734"/>
      <c r="K78" s="734"/>
      <c r="L78" s="734"/>
      <c r="M78" s="1507"/>
      <c r="N78" s="1507"/>
      <c r="O78" s="1506"/>
      <c r="P78" s="1506"/>
      <c r="Q78" s="1507"/>
      <c r="R78" s="1507"/>
    </row>
    <row r="79" spans="1:18" ht="15" hidden="1" customHeight="1">
      <c r="A79" s="1530" t="s">
        <v>775</v>
      </c>
      <c r="B79" s="3627"/>
      <c r="C79" s="3595"/>
      <c r="D79" s="3595"/>
      <c r="E79" s="3626"/>
      <c r="F79" s="3595"/>
      <c r="G79" s="3595"/>
      <c r="H79" s="3595"/>
      <c r="I79" s="3595"/>
      <c r="J79" s="3595"/>
      <c r="K79" s="3595"/>
      <c r="L79" s="3595"/>
      <c r="M79" s="1507"/>
      <c r="N79" s="1506"/>
      <c r="O79" s="1506"/>
      <c r="P79" s="1506"/>
      <c r="Q79" s="1507"/>
      <c r="R79" s="1506"/>
    </row>
    <row r="80" spans="1:18" ht="21.75" hidden="1" customHeight="1" thickBot="1">
      <c r="A80" s="1530"/>
      <c r="B80" s="3627"/>
      <c r="C80" s="3595"/>
      <c r="D80" s="3595"/>
      <c r="E80" s="3626"/>
      <c r="F80" s="3595"/>
      <c r="G80" s="3595"/>
      <c r="H80" s="3595"/>
      <c r="I80" s="3595"/>
      <c r="J80" s="3595"/>
      <c r="K80" s="3595"/>
      <c r="L80" s="3595"/>
      <c r="M80" s="1509"/>
      <c r="N80" s="1510"/>
      <c r="O80" s="1510"/>
      <c r="P80" s="1510"/>
      <c r="Q80" s="1509"/>
      <c r="R80" s="1510"/>
    </row>
    <row r="81" spans="1:18" ht="27" customHeight="1">
      <c r="A81" s="1530" t="s">
        <v>687</v>
      </c>
      <c r="B81" s="1478"/>
      <c r="C81" s="734">
        <f>(G39+G40)/1000</f>
        <v>9697.4958000000006</v>
      </c>
      <c r="D81" s="734">
        <f>C81</f>
        <v>9697.4958000000006</v>
      </c>
      <c r="E81" s="1474">
        <f>D81</f>
        <v>9697.4958000000006</v>
      </c>
      <c r="F81" s="734">
        <f>E81</f>
        <v>9697.4958000000006</v>
      </c>
      <c r="G81" s="734">
        <f>F81</f>
        <v>9697.4958000000006</v>
      </c>
      <c r="H81" s="734"/>
      <c r="I81" s="734"/>
      <c r="J81" s="734"/>
      <c r="K81" s="734"/>
      <c r="L81" s="734"/>
      <c r="M81" s="1509"/>
      <c r="N81" s="1509"/>
      <c r="O81" s="1510"/>
      <c r="P81" s="1510"/>
      <c r="Q81" s="1509"/>
      <c r="R81" s="1509"/>
    </row>
    <row r="82" spans="1:18" ht="15.75" thickBot="1">
      <c r="A82" s="2402" t="s">
        <v>784</v>
      </c>
      <c r="B82" s="2405"/>
      <c r="C82" s="2406">
        <f>C70+C72+C73+C76+C77+C81</f>
        <v>48586.7598</v>
      </c>
      <c r="D82" s="2406">
        <f t="shared" ref="D82:L82" si="4">D70+D72+D73+D76+D77+D81</f>
        <v>50806.246400000004</v>
      </c>
      <c r="E82" s="2406">
        <f t="shared" si="4"/>
        <v>52885.423674000005</v>
      </c>
      <c r="F82" s="2406">
        <f t="shared" si="4"/>
        <v>55246.872584140001</v>
      </c>
      <c r="G82" s="2406">
        <f t="shared" si="4"/>
        <v>57806.511451201412</v>
      </c>
      <c r="H82" s="2406">
        <f t="shared" si="4"/>
        <v>23723.382000000001</v>
      </c>
      <c r="I82" s="2406">
        <f t="shared" si="4"/>
        <v>59235.122915666667</v>
      </c>
      <c r="J82" s="2406">
        <f t="shared" si="4"/>
        <v>98544.602104000005</v>
      </c>
      <c r="K82" s="2406">
        <f t="shared" si="4"/>
        <v>95316.042985900014</v>
      </c>
      <c r="L82" s="2406">
        <f t="shared" si="4"/>
        <v>119902.12718003902</v>
      </c>
      <c r="M82" s="1507"/>
      <c r="N82" s="1506"/>
      <c r="O82" s="1506"/>
      <c r="P82" s="1506"/>
      <c r="Q82" s="1507"/>
      <c r="R82" s="1506"/>
    </row>
    <row r="83" spans="1:18">
      <c r="A83" s="2364"/>
      <c r="B83" s="2364"/>
      <c r="C83" s="2365"/>
      <c r="D83" s="2365"/>
      <c r="E83" s="2365"/>
      <c r="F83" s="2365"/>
      <c r="G83" s="2365"/>
      <c r="H83" s="2365"/>
      <c r="I83" s="2365"/>
      <c r="J83" s="2365"/>
      <c r="K83" s="2365"/>
      <c r="L83" s="2365"/>
      <c r="M83" s="1507"/>
      <c r="N83" s="1506"/>
      <c r="O83" s="1506"/>
      <c r="P83" s="1506"/>
      <c r="Q83" s="1507"/>
      <c r="R83" s="1506"/>
    </row>
    <row r="84" spans="1:18">
      <c r="A84" s="2364" t="s">
        <v>1515</v>
      </c>
      <c r="B84" s="2364"/>
      <c r="C84" s="2365"/>
      <c r="D84" s="2365"/>
      <c r="E84" s="2365" t="s">
        <v>1516</v>
      </c>
      <c r="F84" s="2365"/>
      <c r="G84" s="2365"/>
      <c r="H84" s="2365"/>
      <c r="I84" s="2365"/>
      <c r="J84" s="2365"/>
      <c r="K84" s="2365"/>
      <c r="L84" s="2365"/>
      <c r="M84" s="1507"/>
      <c r="N84" s="1506"/>
      <c r="O84" s="1506"/>
      <c r="P84" s="1506"/>
      <c r="Q84" s="1507"/>
      <c r="R84" s="1506"/>
    </row>
    <row r="85" spans="1:18">
      <c r="A85" s="978"/>
      <c r="B85" s="978"/>
      <c r="C85" s="979"/>
      <c r="D85" s="979"/>
      <c r="E85" s="979"/>
      <c r="F85" s="979"/>
      <c r="L85" s="1508"/>
      <c r="M85" s="1509"/>
      <c r="N85" s="1510"/>
      <c r="O85" s="1510"/>
      <c r="P85" s="1510"/>
      <c r="Q85" s="1509"/>
      <c r="R85" s="1510"/>
    </row>
    <row r="86" spans="1:18">
      <c r="A86" s="3623" t="s">
        <v>1134</v>
      </c>
      <c r="B86" s="3624"/>
      <c r="C86" s="3624"/>
      <c r="D86" s="3624"/>
      <c r="E86" s="3624"/>
      <c r="F86" s="3625"/>
      <c r="G86" s="704"/>
      <c r="H86" s="704"/>
      <c r="I86" s="704"/>
      <c r="J86" s="704"/>
      <c r="K86" s="704"/>
      <c r="L86" s="704"/>
      <c r="M86" s="1507"/>
      <c r="N86" s="1506"/>
      <c r="O86" s="1506"/>
      <c r="P86" s="1506"/>
      <c r="Q86" s="1507"/>
      <c r="R86" s="1506"/>
    </row>
    <row r="87" spans="1:18" ht="83.25" customHeight="1">
      <c r="A87" s="1451" t="s">
        <v>1135</v>
      </c>
      <c r="B87" s="1453">
        <v>3.3000000000000002E-2</v>
      </c>
      <c r="C87" s="734">
        <f t="shared" ref="C87:L87" si="5">C82*0.033</f>
        <v>1603.3630734000001</v>
      </c>
      <c r="D87" s="734">
        <f t="shared" si="5"/>
        <v>1676.6061312000002</v>
      </c>
      <c r="E87" s="734">
        <f t="shared" si="5"/>
        <v>1745.2189812420002</v>
      </c>
      <c r="F87" s="734">
        <f t="shared" si="5"/>
        <v>1823.1467952766202</v>
      </c>
      <c r="G87" s="734">
        <f t="shared" si="5"/>
        <v>1907.6148778896468</v>
      </c>
      <c r="H87" s="734">
        <f t="shared" si="5"/>
        <v>782.87160600000004</v>
      </c>
      <c r="I87" s="734">
        <f t="shared" si="5"/>
        <v>1954.7590562170001</v>
      </c>
      <c r="J87" s="734">
        <f t="shared" si="5"/>
        <v>3251.9718694320004</v>
      </c>
      <c r="K87" s="734">
        <f t="shared" si="5"/>
        <v>3145.4294185347007</v>
      </c>
      <c r="L87" s="734">
        <f t="shared" si="5"/>
        <v>3956.7701969412878</v>
      </c>
      <c r="M87" s="1509"/>
      <c r="N87" s="1510"/>
      <c r="O87" s="1510"/>
      <c r="P87" s="1510"/>
      <c r="Q87" s="1509"/>
      <c r="R87" s="1510"/>
    </row>
    <row r="88" spans="1:18">
      <c r="A88" s="734" t="s">
        <v>1147</v>
      </c>
      <c r="B88" s="1453">
        <v>0.96760000000000002</v>
      </c>
      <c r="C88" s="734">
        <f t="shared" ref="C88:L88" si="6">C82*0.967</f>
        <v>46983.396726599996</v>
      </c>
      <c r="D88" s="734">
        <f t="shared" si="6"/>
        <v>49129.640268800002</v>
      </c>
      <c r="E88" s="734">
        <f t="shared" si="6"/>
        <v>51140.204692758001</v>
      </c>
      <c r="F88" s="734">
        <f t="shared" si="6"/>
        <v>53423.725788863376</v>
      </c>
      <c r="G88" s="734">
        <f t="shared" si="6"/>
        <v>55898.896573311766</v>
      </c>
      <c r="H88" s="734">
        <f t="shared" si="6"/>
        <v>22940.510394000001</v>
      </c>
      <c r="I88" s="734">
        <f t="shared" si="6"/>
        <v>57280.363859449666</v>
      </c>
      <c r="J88" s="734">
        <f t="shared" si="6"/>
        <v>95292.630234568001</v>
      </c>
      <c r="K88" s="734">
        <f t="shared" si="6"/>
        <v>92170.613567365304</v>
      </c>
      <c r="L88" s="734">
        <f t="shared" si="6"/>
        <v>115945.35698309774</v>
      </c>
      <c r="M88" s="1509"/>
      <c r="N88" s="1509"/>
      <c r="O88" s="1511"/>
      <c r="P88" s="1510"/>
      <c r="Q88" s="1509"/>
      <c r="R88" s="1510"/>
    </row>
    <row r="89" spans="1:18">
      <c r="A89" s="734" t="s">
        <v>1148</v>
      </c>
      <c r="B89" s="1453"/>
      <c r="C89" s="734"/>
      <c r="D89" s="734"/>
      <c r="E89" s="734"/>
      <c r="F89" s="734"/>
      <c r="G89" s="704"/>
      <c r="H89" s="704"/>
      <c r="I89" s="704"/>
      <c r="J89" s="704"/>
      <c r="K89" s="704"/>
      <c r="L89" s="704"/>
      <c r="M89" s="1512"/>
      <c r="N89" s="1513"/>
      <c r="O89" s="1512"/>
      <c r="P89" s="1512"/>
      <c r="Q89" s="1513"/>
      <c r="R89" s="1512"/>
    </row>
    <row r="90" spans="1:18">
      <c r="A90" s="734" t="s">
        <v>1149</v>
      </c>
      <c r="B90" s="1453">
        <v>0.59</v>
      </c>
      <c r="C90" s="734">
        <f>C88*0.59</f>
        <v>27720.204068693998</v>
      </c>
      <c r="D90" s="734">
        <f t="shared" ref="D90:G90" si="7">D88*0.59</f>
        <v>28986.487758592</v>
      </c>
      <c r="E90" s="734">
        <f t="shared" si="7"/>
        <v>30172.72076872722</v>
      </c>
      <c r="F90" s="734">
        <f t="shared" si="7"/>
        <v>31519.99821542939</v>
      </c>
      <c r="G90" s="734">
        <f t="shared" si="7"/>
        <v>32980.34897825394</v>
      </c>
      <c r="H90" s="734">
        <f t="shared" ref="H90:L90" si="8">H88*0.59</f>
        <v>13534.90113246</v>
      </c>
      <c r="I90" s="734">
        <f t="shared" si="8"/>
        <v>33795.4146770753</v>
      </c>
      <c r="J90" s="734">
        <f t="shared" si="8"/>
        <v>56222.651838395119</v>
      </c>
      <c r="K90" s="734">
        <f t="shared" si="8"/>
        <v>54380.662004745529</v>
      </c>
      <c r="L90" s="734">
        <f t="shared" si="8"/>
        <v>68407.760620027664</v>
      </c>
    </row>
    <row r="91" spans="1:18">
      <c r="A91" s="734" t="s">
        <v>1150</v>
      </c>
      <c r="B91" s="1453">
        <v>0.41</v>
      </c>
      <c r="C91" s="734">
        <f>C88*0.41</f>
        <v>19263.192657905998</v>
      </c>
      <c r="D91" s="734">
        <f t="shared" ref="D91:G91" si="9">D88*0.41</f>
        <v>20143.152510207998</v>
      </c>
      <c r="E91" s="734">
        <f t="shared" si="9"/>
        <v>20967.483924030781</v>
      </c>
      <c r="F91" s="734">
        <f t="shared" si="9"/>
        <v>21903.727573433982</v>
      </c>
      <c r="G91" s="734">
        <f t="shared" si="9"/>
        <v>22918.547595057822</v>
      </c>
      <c r="H91" s="734">
        <f t="shared" ref="H91:L91" si="10">H88*0.41</f>
        <v>9405.6092615399994</v>
      </c>
      <c r="I91" s="734">
        <f t="shared" si="10"/>
        <v>23484.949182374363</v>
      </c>
      <c r="J91" s="734">
        <f t="shared" si="10"/>
        <v>39069.978396172875</v>
      </c>
      <c r="K91" s="734">
        <f t="shared" si="10"/>
        <v>37789.951562619775</v>
      </c>
      <c r="L91" s="734">
        <f t="shared" si="10"/>
        <v>47537.596363070072</v>
      </c>
    </row>
    <row r="93" spans="1:18" ht="19.5" thickBot="1">
      <c r="A93" s="1450" t="s">
        <v>1156</v>
      </c>
      <c r="B93" s="1450"/>
      <c r="C93" s="711"/>
      <c r="D93" s="698"/>
      <c r="E93" s="698"/>
      <c r="F93" s="698"/>
      <c r="G93" s="698"/>
      <c r="H93" s="2020"/>
      <c r="I93" s="2022" t="s">
        <v>1393</v>
      </c>
      <c r="J93" s="2020"/>
      <c r="K93" s="2020"/>
      <c r="L93" s="2021"/>
    </row>
    <row r="94" spans="1:18" ht="57.75">
      <c r="A94" s="1537" t="s">
        <v>1186</v>
      </c>
      <c r="B94" s="1538" t="s">
        <v>1061</v>
      </c>
      <c r="C94" s="1539" t="s">
        <v>780</v>
      </c>
      <c r="D94" s="1539" t="s">
        <v>781</v>
      </c>
      <c r="E94" s="1539" t="s">
        <v>782</v>
      </c>
      <c r="F94" s="1539" t="s">
        <v>783</v>
      </c>
      <c r="G94" s="1540" t="s">
        <v>1133</v>
      </c>
      <c r="H94" s="1473" t="s">
        <v>1391</v>
      </c>
      <c r="I94" s="1473" t="s">
        <v>1392</v>
      </c>
      <c r="J94" s="1473" t="s">
        <v>782</v>
      </c>
      <c r="K94" s="1473" t="s">
        <v>783</v>
      </c>
      <c r="L94" s="2025" t="s">
        <v>1133</v>
      </c>
    </row>
    <row r="95" spans="1:18" ht="29.25">
      <c r="A95" s="1541" t="s">
        <v>1512</v>
      </c>
      <c r="B95" s="1447"/>
      <c r="C95" s="2390">
        <f>C68*0.47</f>
        <v>10393.487879999999</v>
      </c>
      <c r="D95" s="2390">
        <f>D68*0.47</f>
        <v>10913.162274</v>
      </c>
      <c r="E95" s="2390">
        <f>E68*0.47</f>
        <v>11458.820387700001</v>
      </c>
      <c r="F95" s="2390">
        <f>F68*0.47</f>
        <v>12031.761407085001</v>
      </c>
      <c r="G95" s="2023">
        <f>G68*0.47</f>
        <v>12633.349477439253</v>
      </c>
      <c r="H95" s="2023">
        <f>H68*0.96*0.59</f>
        <v>6305.6802239999997</v>
      </c>
      <c r="I95" s="2023">
        <f>I68*0.96*0.59</f>
        <v>12611.360447999999</v>
      </c>
      <c r="J95" s="2023">
        <f>J68*0.96*0.59</f>
        <v>13809.097590624</v>
      </c>
      <c r="K95" s="2023">
        <f>K68*0.96*0.59</f>
        <v>14499.552470155202</v>
      </c>
      <c r="L95" s="2026">
        <f>L68*0.96*0.59</f>
        <v>15224.530093662963</v>
      </c>
    </row>
    <row r="96" spans="1:18" ht="70.5" customHeight="1">
      <c r="A96" s="1541" t="s">
        <v>1513</v>
      </c>
      <c r="B96" s="1447" t="s">
        <v>1187</v>
      </c>
      <c r="C96" s="2390"/>
      <c r="D96" s="2390"/>
      <c r="E96" s="2390"/>
      <c r="F96" s="2390"/>
      <c r="G96" s="2023"/>
      <c r="H96" s="2023"/>
      <c r="I96" s="2388">
        <f>133160/2/100*2.2+305961.01/2/100*2.2</f>
        <v>4830.3311100000001</v>
      </c>
      <c r="J96" s="2388">
        <f>286000/100*2.2+305961.01/100*2.2</f>
        <v>13023.142220000002</v>
      </c>
      <c r="K96" s="2388">
        <f>1326673.12/12*3/100*2.2</f>
        <v>7296.7021600000016</v>
      </c>
      <c r="L96" s="1542">
        <f>1326673.12/100*2.2</f>
        <v>29186.808640000007</v>
      </c>
    </row>
    <row r="97" spans="1:12" ht="45.75" customHeight="1">
      <c r="A97" s="2394" t="s">
        <v>1511</v>
      </c>
      <c r="B97" s="2395"/>
      <c r="C97" s="2396"/>
      <c r="D97" s="2396"/>
      <c r="E97" s="2396"/>
      <c r="F97" s="2396"/>
      <c r="G97" s="2397"/>
      <c r="H97" s="2397">
        <f>H95+H96</f>
        <v>6305.6802239999997</v>
      </c>
      <c r="I97" s="2397">
        <f t="shared" ref="I97:L97" si="11">I95+I96</f>
        <v>17441.691557999999</v>
      </c>
      <c r="J97" s="2397">
        <f t="shared" si="11"/>
        <v>26832.239810624</v>
      </c>
      <c r="K97" s="2397">
        <f t="shared" si="11"/>
        <v>21796.254630155203</v>
      </c>
      <c r="L97" s="2398">
        <f t="shared" si="11"/>
        <v>44411.338733662968</v>
      </c>
    </row>
    <row r="98" spans="1:12" ht="43.5">
      <c r="A98" s="1541" t="s">
        <v>121</v>
      </c>
      <c r="B98" s="1447"/>
      <c r="C98" s="2390"/>
      <c r="D98" s="734"/>
      <c r="E98" s="734"/>
      <c r="F98" s="2388"/>
      <c r="G98" s="2389"/>
      <c r="H98" s="704"/>
      <c r="I98" s="704"/>
      <c r="J98" s="704"/>
      <c r="K98" s="704"/>
      <c r="L98" s="2027"/>
    </row>
    <row r="99" spans="1:12">
      <c r="A99" s="1541" t="s">
        <v>1181</v>
      </c>
      <c r="B99" s="1447" t="s">
        <v>1188</v>
      </c>
      <c r="C99" s="2390">
        <f t="shared" ref="C99:L99" si="12">C72</f>
        <v>1611.64</v>
      </c>
      <c r="D99" s="2390">
        <f t="shared" si="12"/>
        <v>1627.7564000000002</v>
      </c>
      <c r="E99" s="2390">
        <f t="shared" si="12"/>
        <v>1644.0339640000002</v>
      </c>
      <c r="F99" s="2390">
        <f t="shared" si="12"/>
        <v>1660.4743036400002</v>
      </c>
      <c r="G99" s="2023">
        <f t="shared" si="12"/>
        <v>1677.0790466764004</v>
      </c>
      <c r="H99" s="2023">
        <f t="shared" si="12"/>
        <v>969.375</v>
      </c>
      <c r="I99" s="2023">
        <f t="shared" si="12"/>
        <v>1938.75</v>
      </c>
      <c r="J99" s="2023">
        <f t="shared" si="12"/>
        <v>1958.1375</v>
      </c>
      <c r="K99" s="2023">
        <f t="shared" si="12"/>
        <v>1977.718875</v>
      </c>
      <c r="L99" s="2026">
        <f t="shared" si="12"/>
        <v>1997.4960637500001</v>
      </c>
    </row>
    <row r="100" spans="1:12" ht="51">
      <c r="A100" s="1541" t="s">
        <v>1185</v>
      </c>
      <c r="B100" s="1447" t="s">
        <v>1189</v>
      </c>
      <c r="C100" s="2390">
        <f t="shared" ref="C100:L100" si="13">C73</f>
        <v>4801.6000000000004</v>
      </c>
      <c r="D100" s="2390">
        <f t="shared" si="13"/>
        <v>5866.23</v>
      </c>
      <c r="E100" s="2390">
        <f t="shared" si="13"/>
        <v>6733.4525000000003</v>
      </c>
      <c r="F100" s="2390">
        <f t="shared" si="13"/>
        <v>7823</v>
      </c>
      <c r="G100" s="2023">
        <f t="shared" si="13"/>
        <v>9047.7999999999993</v>
      </c>
      <c r="H100" s="2023">
        <f t="shared" si="13"/>
        <v>3218.69</v>
      </c>
      <c r="I100" s="2023">
        <f t="shared" si="13"/>
        <v>6437.38</v>
      </c>
      <c r="J100" s="2023">
        <f t="shared" si="13"/>
        <v>6733.4525000000003</v>
      </c>
      <c r="K100" s="2023">
        <f t="shared" si="13"/>
        <v>7823</v>
      </c>
      <c r="L100" s="2026">
        <f t="shared" si="13"/>
        <v>9047.7999999999993</v>
      </c>
    </row>
    <row r="101" spans="1:12" ht="30">
      <c r="A101" s="1543" t="s">
        <v>384</v>
      </c>
      <c r="B101" s="1447" t="s">
        <v>1190</v>
      </c>
      <c r="C101" s="734">
        <f>C74</f>
        <v>4725.1000000000004</v>
      </c>
      <c r="D101" s="734">
        <f>D100</f>
        <v>5866.23</v>
      </c>
      <c r="E101" s="734">
        <f t="shared" ref="E101:G101" si="14">E100</f>
        <v>6733.4525000000003</v>
      </c>
      <c r="F101" s="734">
        <f t="shared" si="14"/>
        <v>7823</v>
      </c>
      <c r="G101" s="2024">
        <f t="shared" si="14"/>
        <v>9047.7999999999993</v>
      </c>
      <c r="H101" s="2023">
        <f>H74</f>
        <v>3218.69</v>
      </c>
      <c r="I101" s="2023">
        <f>I74</f>
        <v>6437.38</v>
      </c>
      <c r="J101" s="2023">
        <f>J74</f>
        <v>6733.4525000000003</v>
      </c>
      <c r="K101" s="2023">
        <f>K74</f>
        <v>7823</v>
      </c>
      <c r="L101" s="2026">
        <f>L74</f>
        <v>9047.7999999999993</v>
      </c>
    </row>
    <row r="102" spans="1:12">
      <c r="A102" s="1543" t="s">
        <v>1182</v>
      </c>
      <c r="B102" s="1447"/>
      <c r="C102" s="734">
        <f>C75</f>
        <v>76.5</v>
      </c>
      <c r="D102" s="734"/>
      <c r="E102" s="2390"/>
      <c r="F102" s="734"/>
      <c r="G102" s="2024"/>
      <c r="H102" s="2023"/>
      <c r="I102" s="2023"/>
      <c r="J102" s="2023"/>
      <c r="K102" s="2023"/>
      <c r="L102" s="2026"/>
    </row>
    <row r="103" spans="1:12">
      <c r="A103" s="1541" t="s">
        <v>629</v>
      </c>
      <c r="B103" s="1447"/>
      <c r="C103" s="734">
        <f t="shared" ref="C103:G104" si="15">C76*0.59</f>
        <v>5723.7197999999989</v>
      </c>
      <c r="D103" s="734">
        <f t="shared" si="15"/>
        <v>5723.7197999999989</v>
      </c>
      <c r="E103" s="734">
        <f t="shared" si="15"/>
        <v>5723.7197999999989</v>
      </c>
      <c r="F103" s="734">
        <f t="shared" si="15"/>
        <v>5723.7197999999989</v>
      </c>
      <c r="G103" s="2024">
        <f t="shared" si="15"/>
        <v>5723.7197999999989</v>
      </c>
      <c r="H103" s="2023">
        <f t="shared" ref="H103:L104" si="16">H76*0.96*0.59</f>
        <v>4534.6550399999996</v>
      </c>
      <c r="I103" s="2023">
        <f t="shared" si="16"/>
        <v>9069.3100799999993</v>
      </c>
      <c r="J103" s="2023">
        <f t="shared" si="16"/>
        <v>9160.0031807999985</v>
      </c>
      <c r="K103" s="2023">
        <f t="shared" si="16"/>
        <v>9251.603212607999</v>
      </c>
      <c r="L103" s="2026">
        <f t="shared" si="16"/>
        <v>9344.11924473408</v>
      </c>
    </row>
    <row r="104" spans="1:12" ht="24.75" customHeight="1">
      <c r="A104" s="1541" t="s">
        <v>127</v>
      </c>
      <c r="B104" s="2391" t="s">
        <v>1191</v>
      </c>
      <c r="C104" s="734">
        <f t="shared" si="15"/>
        <v>389.98999999999995</v>
      </c>
      <c r="D104" s="734">
        <f t="shared" si="15"/>
        <v>409.48950000000002</v>
      </c>
      <c r="E104" s="734">
        <f t="shared" si="15"/>
        <v>429.963975</v>
      </c>
      <c r="F104" s="734">
        <f t="shared" si="15"/>
        <v>451.46217375000003</v>
      </c>
      <c r="G104" s="2024">
        <f t="shared" si="15"/>
        <v>474.03528243750009</v>
      </c>
      <c r="H104" s="2023">
        <f t="shared" si="16"/>
        <v>224.46828479999999</v>
      </c>
      <c r="I104" s="2023">
        <f t="shared" si="16"/>
        <v>448.93656959999998</v>
      </c>
      <c r="J104" s="2023">
        <f t="shared" si="16"/>
        <v>453.42593529599998</v>
      </c>
      <c r="K104" s="2023">
        <f t="shared" si="16"/>
        <v>457.96019464896</v>
      </c>
      <c r="L104" s="2026">
        <f t="shared" si="16"/>
        <v>462.53979659544956</v>
      </c>
    </row>
    <row r="105" spans="1:12" ht="22.5" customHeight="1" thickBot="1">
      <c r="A105" s="2402" t="s">
        <v>784</v>
      </c>
      <c r="B105" s="2405"/>
      <c r="C105" s="2406">
        <f>C97+C98+C99+C100+C103+C104</f>
        <v>12526.9498</v>
      </c>
      <c r="D105" s="2406">
        <f t="shared" ref="D105:L105" si="17">D97+D98+D99+D100+D103+D104</f>
        <v>13627.195699999998</v>
      </c>
      <c r="E105" s="2406">
        <f t="shared" si="17"/>
        <v>14531.170239000001</v>
      </c>
      <c r="F105" s="2406">
        <f t="shared" si="17"/>
        <v>15658.656277389999</v>
      </c>
      <c r="G105" s="2406">
        <f t="shared" si="17"/>
        <v>16922.6341291139</v>
      </c>
      <c r="H105" s="2406">
        <f t="shared" si="17"/>
        <v>15252.868548799999</v>
      </c>
      <c r="I105" s="2406">
        <f t="shared" si="17"/>
        <v>35336.068207600001</v>
      </c>
      <c r="J105" s="2406">
        <f t="shared" si="17"/>
        <v>45137.258926720002</v>
      </c>
      <c r="K105" s="2406">
        <f t="shared" si="17"/>
        <v>41306.536912412157</v>
      </c>
      <c r="L105" s="2407">
        <f t="shared" si="17"/>
        <v>65263.293838742487</v>
      </c>
    </row>
    <row r="107" spans="1:12">
      <c r="C107" s="694"/>
    </row>
    <row r="110" spans="1:12" ht="19.5" thickBot="1">
      <c r="A110" s="1450" t="s">
        <v>1192</v>
      </c>
      <c r="B110" s="1450"/>
      <c r="C110" s="711"/>
      <c r="D110" s="698"/>
      <c r="E110" s="698"/>
      <c r="F110" s="698"/>
      <c r="G110" s="698"/>
      <c r="H110" s="2020"/>
      <c r="I110" s="2022" t="s">
        <v>1393</v>
      </c>
      <c r="J110" s="2020"/>
      <c r="K110" s="2020"/>
      <c r="L110" s="2021"/>
    </row>
    <row r="111" spans="1:12" ht="57.75">
      <c r="A111" s="1537" t="s">
        <v>1186</v>
      </c>
      <c r="B111" s="2399" t="s">
        <v>1061</v>
      </c>
      <c r="C111" s="1530" t="s">
        <v>780</v>
      </c>
      <c r="D111" s="1530" t="s">
        <v>781</v>
      </c>
      <c r="E111" s="1530" t="s">
        <v>782</v>
      </c>
      <c r="F111" s="1530" t="s">
        <v>783</v>
      </c>
      <c r="G111" s="1530" t="s">
        <v>1133</v>
      </c>
      <c r="H111" s="1530" t="s">
        <v>1391</v>
      </c>
      <c r="I111" s="1530" t="s">
        <v>1392</v>
      </c>
      <c r="J111" s="1530" t="s">
        <v>782</v>
      </c>
      <c r="K111" s="1530" t="s">
        <v>783</v>
      </c>
      <c r="L111" s="1530" t="s">
        <v>1133</v>
      </c>
    </row>
    <row r="112" spans="1:12" ht="38.25">
      <c r="A112" s="1541" t="s">
        <v>1512</v>
      </c>
      <c r="B112" s="1447" t="s">
        <v>1187</v>
      </c>
      <c r="C112" s="2390">
        <f>C68*0.42</f>
        <v>9287.7976799999997</v>
      </c>
      <c r="D112" s="2390">
        <f>D68*0.42</f>
        <v>9752.1875639999998</v>
      </c>
      <c r="E112" s="2390">
        <f>E68*0.42</f>
        <v>10239.796942200001</v>
      </c>
      <c r="F112" s="2390">
        <f>F68*0.42</f>
        <v>10751.786789310003</v>
      </c>
      <c r="G112" s="2390">
        <f>G68*0.42</f>
        <v>11289.376128775502</v>
      </c>
      <c r="H112" s="2390">
        <f>H68*0.96*0.41</f>
        <v>4381.9133759999995</v>
      </c>
      <c r="I112" s="2390">
        <f>I68*0.96*0.41</f>
        <v>8763.826751999999</v>
      </c>
      <c r="J112" s="2390">
        <f>J68*0.96*0.41</f>
        <v>9596.1525629759999</v>
      </c>
      <c r="K112" s="2390">
        <f>K68*0.96*0.41</f>
        <v>10075.960191124801</v>
      </c>
      <c r="L112" s="2390">
        <f>L68*0.96*0.41</f>
        <v>10579.758200681041</v>
      </c>
    </row>
    <row r="113" spans="1:12" ht="84.75" customHeight="1">
      <c r="A113" s="1530" t="s">
        <v>1514</v>
      </c>
      <c r="B113" s="1447"/>
      <c r="C113" s="2390"/>
      <c r="D113" s="2390"/>
      <c r="E113" s="2390"/>
      <c r="F113" s="2390"/>
      <c r="G113" s="2390"/>
      <c r="H113" s="2390"/>
      <c r="I113" s="2390">
        <f>141037/2/100*2.2+1474532.947/12*2/100*2.2</f>
        <v>6958.0278056666675</v>
      </c>
      <c r="J113" s="2390">
        <f>141037/100*2.2+1471532.947/100*2.2</f>
        <v>35476.538833999999</v>
      </c>
      <c r="K113" s="2430">
        <f t="shared" ref="K113:L113" si="18">141037/100*2.2+1471532.947/100*2.2</f>
        <v>35476.538833999999</v>
      </c>
      <c r="L113" s="2430">
        <f t="shared" si="18"/>
        <v>35476.538833999999</v>
      </c>
    </row>
    <row r="114" spans="1:12" ht="23.25" customHeight="1">
      <c r="A114" s="2401" t="s">
        <v>1511</v>
      </c>
      <c r="B114" s="2394"/>
      <c r="C114" s="2394"/>
      <c r="D114" s="2394"/>
      <c r="E114" s="2394"/>
      <c r="F114" s="2394"/>
      <c r="G114" s="2394"/>
      <c r="H114" s="2429">
        <f>H112+H113</f>
        <v>4381.9133759999995</v>
      </c>
      <c r="I114" s="2400">
        <f>SUM(I112:I113)</f>
        <v>15721.854557666666</v>
      </c>
      <c r="J114" s="2400">
        <f t="shared" ref="J114:L114" si="19">SUM(J112:J113)</f>
        <v>45072.691396975999</v>
      </c>
      <c r="K114" s="2400">
        <f t="shared" si="19"/>
        <v>45552.499025124802</v>
      </c>
      <c r="L114" s="2400">
        <f t="shared" si="19"/>
        <v>46056.29703468104</v>
      </c>
    </row>
    <row r="115" spans="1:12" ht="43.5">
      <c r="A115" s="1541" t="s">
        <v>121</v>
      </c>
      <c r="B115" s="1447"/>
      <c r="C115" s="2390"/>
      <c r="D115" s="734"/>
      <c r="E115" s="734"/>
      <c r="F115" s="2388"/>
      <c r="G115" s="2388"/>
      <c r="H115" s="704"/>
      <c r="I115" s="704"/>
      <c r="J115" s="704"/>
      <c r="K115" s="704"/>
      <c r="L115" s="704"/>
    </row>
    <row r="116" spans="1:12">
      <c r="A116" s="1541" t="s">
        <v>1181</v>
      </c>
      <c r="B116" s="1447" t="s">
        <v>1188</v>
      </c>
      <c r="C116" s="2390">
        <v>0</v>
      </c>
      <c r="D116" s="2390">
        <v>0</v>
      </c>
      <c r="E116" s="2390">
        <v>0</v>
      </c>
      <c r="F116" s="2390">
        <v>0</v>
      </c>
      <c r="G116" s="2390">
        <v>0</v>
      </c>
      <c r="H116" s="2390">
        <f>H89</f>
        <v>0</v>
      </c>
      <c r="I116" s="2390">
        <f t="shared" ref="I116:L116" si="20">I89</f>
        <v>0</v>
      </c>
      <c r="J116" s="2390">
        <f t="shared" si="20"/>
        <v>0</v>
      </c>
      <c r="K116" s="2390">
        <f t="shared" si="20"/>
        <v>0</v>
      </c>
      <c r="L116" s="2390">
        <f t="shared" si="20"/>
        <v>0</v>
      </c>
    </row>
    <row r="117" spans="1:12" ht="51">
      <c r="A117" s="1541" t="s">
        <v>1185</v>
      </c>
      <c r="B117" s="1447" t="s">
        <v>1189</v>
      </c>
      <c r="C117" s="2390">
        <v>0</v>
      </c>
      <c r="D117" s="2390">
        <v>0</v>
      </c>
      <c r="E117" s="2390">
        <v>0</v>
      </c>
      <c r="F117" s="2390">
        <v>0</v>
      </c>
      <c r="G117" s="2390">
        <v>0</v>
      </c>
      <c r="H117" s="2390">
        <v>0</v>
      </c>
      <c r="I117" s="2390">
        <v>0</v>
      </c>
      <c r="J117" s="2390">
        <v>0</v>
      </c>
      <c r="K117" s="2390">
        <v>0</v>
      </c>
      <c r="L117" s="2390">
        <v>0</v>
      </c>
    </row>
    <row r="118" spans="1:12" ht="30">
      <c r="A118" s="1543" t="s">
        <v>384</v>
      </c>
      <c r="B118" s="1447" t="s">
        <v>1190</v>
      </c>
      <c r="C118" s="734">
        <f>C92</f>
        <v>0</v>
      </c>
      <c r="D118" s="734">
        <f>D117</f>
        <v>0</v>
      </c>
      <c r="E118" s="734">
        <f t="shared" ref="E118" si="21">E117</f>
        <v>0</v>
      </c>
      <c r="F118" s="734">
        <f t="shared" ref="F118" si="22">F117</f>
        <v>0</v>
      </c>
      <c r="G118" s="734">
        <f t="shared" ref="G118" si="23">G117</f>
        <v>0</v>
      </c>
      <c r="H118" s="2390">
        <v>0</v>
      </c>
      <c r="I118" s="2390">
        <v>0</v>
      </c>
      <c r="J118" s="2390">
        <v>0</v>
      </c>
      <c r="K118" s="2390">
        <v>0</v>
      </c>
      <c r="L118" s="2390">
        <v>0</v>
      </c>
    </row>
    <row r="119" spans="1:12">
      <c r="A119" s="1543" t="s">
        <v>1182</v>
      </c>
      <c r="B119" s="1447"/>
      <c r="C119" s="734">
        <f>C93</f>
        <v>0</v>
      </c>
      <c r="D119" s="734"/>
      <c r="E119" s="2390"/>
      <c r="F119" s="734"/>
      <c r="G119" s="734"/>
      <c r="H119" s="2390">
        <v>0</v>
      </c>
      <c r="I119" s="2390">
        <v>0</v>
      </c>
      <c r="J119" s="2390">
        <v>0</v>
      </c>
      <c r="K119" s="2390">
        <v>0</v>
      </c>
      <c r="L119" s="2390">
        <v>0</v>
      </c>
    </row>
    <row r="120" spans="1:12">
      <c r="A120" s="1541" t="s">
        <v>629</v>
      </c>
      <c r="B120" s="1447"/>
      <c r="C120" s="734">
        <f t="shared" ref="C120:G121" si="24">C76*0.41</f>
        <v>3977.5001999999995</v>
      </c>
      <c r="D120" s="734">
        <f t="shared" si="24"/>
        <v>3977.5001999999995</v>
      </c>
      <c r="E120" s="734">
        <f t="shared" si="24"/>
        <v>3977.5001999999995</v>
      </c>
      <c r="F120" s="734">
        <f t="shared" si="24"/>
        <v>3977.5001999999995</v>
      </c>
      <c r="G120" s="734">
        <f t="shared" si="24"/>
        <v>3977.5001999999995</v>
      </c>
      <c r="H120" s="2390">
        <f t="shared" ref="H120:L121" si="25">H76*0.96*0.41</f>
        <v>3151.2009599999997</v>
      </c>
      <c r="I120" s="2390">
        <f t="shared" si="25"/>
        <v>6302.4019199999993</v>
      </c>
      <c r="J120" s="2390">
        <f t="shared" si="25"/>
        <v>6365.4259391999994</v>
      </c>
      <c r="K120" s="2390">
        <f t="shared" si="25"/>
        <v>6429.0801985919998</v>
      </c>
      <c r="L120" s="2390">
        <f t="shared" si="25"/>
        <v>6493.3710005779203</v>
      </c>
    </row>
    <row r="121" spans="1:12" ht="38.25">
      <c r="A121" s="1541" t="s">
        <v>127</v>
      </c>
      <c r="B121" s="2391" t="s">
        <v>1191</v>
      </c>
      <c r="C121" s="734">
        <f t="shared" si="24"/>
        <v>271.01</v>
      </c>
      <c r="D121" s="734">
        <f t="shared" si="24"/>
        <v>284.56049999999999</v>
      </c>
      <c r="E121" s="734">
        <f t="shared" si="24"/>
        <v>298.78852499999999</v>
      </c>
      <c r="F121" s="734">
        <f t="shared" si="24"/>
        <v>313.72795124999999</v>
      </c>
      <c r="G121" s="734">
        <f t="shared" si="24"/>
        <v>329.41434881250007</v>
      </c>
      <c r="H121" s="2390">
        <f t="shared" si="25"/>
        <v>155.98643519999999</v>
      </c>
      <c r="I121" s="2390">
        <f t="shared" si="25"/>
        <v>311.97287039999998</v>
      </c>
      <c r="J121" s="2390">
        <f t="shared" si="25"/>
        <v>315.09259910399999</v>
      </c>
      <c r="K121" s="2390">
        <f t="shared" si="25"/>
        <v>318.24352509504001</v>
      </c>
      <c r="L121" s="2390">
        <f t="shared" si="25"/>
        <v>321.42596034599035</v>
      </c>
    </row>
    <row r="122" spans="1:12" ht="15.75" thickBot="1">
      <c r="A122" s="2402" t="s">
        <v>784</v>
      </c>
      <c r="B122" s="2403"/>
      <c r="C122" s="2404">
        <f>C114+C116+C117+C120+C121</f>
        <v>4248.5101999999997</v>
      </c>
      <c r="D122" s="2404">
        <f t="shared" ref="D122:L122" si="26">D114+D116+D117+D120+D121</f>
        <v>4262.0606999999991</v>
      </c>
      <c r="E122" s="2404">
        <f t="shared" si="26"/>
        <v>4276.2887249999994</v>
      </c>
      <c r="F122" s="2404">
        <f t="shared" si="26"/>
        <v>4291.2281512499994</v>
      </c>
      <c r="G122" s="2404">
        <f t="shared" si="26"/>
        <v>4306.9145488124996</v>
      </c>
      <c r="H122" s="2404">
        <f t="shared" si="26"/>
        <v>7689.1007711999991</v>
      </c>
      <c r="I122" s="2404">
        <f t="shared" si="26"/>
        <v>22336.229348066667</v>
      </c>
      <c r="J122" s="2404">
        <f t="shared" si="26"/>
        <v>51753.20993528</v>
      </c>
      <c r="K122" s="2404">
        <f t="shared" si="26"/>
        <v>52299.822748811835</v>
      </c>
      <c r="L122" s="2404">
        <f t="shared" si="26"/>
        <v>52871.093995604948</v>
      </c>
    </row>
    <row r="124" spans="1:12">
      <c r="C124" s="694"/>
    </row>
    <row r="125" spans="1:12">
      <c r="C125" s="694"/>
      <c r="D125" s="694"/>
      <c r="E125" s="694"/>
      <c r="F125" s="694"/>
      <c r="G125" s="694"/>
    </row>
    <row r="126" spans="1:12">
      <c r="C126" s="694"/>
      <c r="D126" s="694"/>
      <c r="E126" s="694"/>
      <c r="F126" s="694"/>
      <c r="G126" s="694"/>
    </row>
  </sheetData>
  <mergeCells count="44">
    <mergeCell ref="B68:B69"/>
    <mergeCell ref="I55:I57"/>
    <mergeCell ref="D55:D57"/>
    <mergeCell ref="E55:E57"/>
    <mergeCell ref="F55:F57"/>
    <mergeCell ref="G55:G57"/>
    <mergeCell ref="H55:H57"/>
    <mergeCell ref="C1:I1"/>
    <mergeCell ref="M64:N64"/>
    <mergeCell ref="C2:I2"/>
    <mergeCell ref="G79:G80"/>
    <mergeCell ref="A86:F86"/>
    <mergeCell ref="E79:E80"/>
    <mergeCell ref="B77:B78"/>
    <mergeCell ref="B79:B80"/>
    <mergeCell ref="C79:C80"/>
    <mergeCell ref="D79:D80"/>
    <mergeCell ref="F79:F80"/>
    <mergeCell ref="C28:I28"/>
    <mergeCell ref="C27:I27"/>
    <mergeCell ref="D54:E54"/>
    <mergeCell ref="F54:G54"/>
    <mergeCell ref="H54:I54"/>
    <mergeCell ref="O64:P64"/>
    <mergeCell ref="Q64:R64"/>
    <mergeCell ref="D4:E4"/>
    <mergeCell ref="F4:G4"/>
    <mergeCell ref="H4:I4"/>
    <mergeCell ref="D29:E29"/>
    <mergeCell ref="F29:G29"/>
    <mergeCell ref="H29:I29"/>
    <mergeCell ref="D30:D32"/>
    <mergeCell ref="E30:E32"/>
    <mergeCell ref="F30:F32"/>
    <mergeCell ref="G30:G32"/>
    <mergeCell ref="H30:H32"/>
    <mergeCell ref="C52:I52"/>
    <mergeCell ref="C51:I51"/>
    <mergeCell ref="I30:I32"/>
    <mergeCell ref="H79:H80"/>
    <mergeCell ref="I79:I80"/>
    <mergeCell ref="J79:J80"/>
    <mergeCell ref="K79:K80"/>
    <mergeCell ref="L79:L80"/>
  </mergeCells>
  <pageMargins left="3.937007874015748E-2" right="3.937007874015748E-2" top="0.74803149606299213" bottom="0.74803149606299213" header="0.31496062992125984" footer="0.31496062992125984"/>
  <pageSetup paperSize="9" scale="60" orientation="landscape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41"/>
  <sheetViews>
    <sheetView workbookViewId="0">
      <selection activeCell="I9" sqref="I9"/>
    </sheetView>
  </sheetViews>
  <sheetFormatPr defaultRowHeight="15"/>
  <cols>
    <col min="1" max="1" width="29.140625" customWidth="1"/>
    <col min="2" max="2" width="17.140625" customWidth="1"/>
    <col min="3" max="3" width="16" customWidth="1"/>
    <col min="4" max="4" width="15.7109375" hidden="1" customWidth="1"/>
    <col min="5" max="5" width="13.42578125" customWidth="1"/>
    <col min="6" max="6" width="15.140625" customWidth="1"/>
    <col min="7" max="7" width="11.42578125" hidden="1" customWidth="1"/>
    <col min="8" max="8" width="13.85546875" hidden="1" customWidth="1"/>
    <col min="9" max="9" width="17.5703125" customWidth="1"/>
    <col min="10" max="10" width="13.28515625" customWidth="1"/>
    <col min="11" max="11" width="14.28515625" customWidth="1"/>
    <col min="12" max="12" width="13.5703125" customWidth="1"/>
  </cols>
  <sheetData>
    <row r="1" spans="1:12">
      <c r="A1" s="1252" t="s">
        <v>1318</v>
      </c>
      <c r="B1" s="1252"/>
      <c r="C1" s="1252"/>
      <c r="D1" s="1252"/>
      <c r="E1" s="1252"/>
    </row>
    <row r="2" spans="1:12">
      <c r="A2" s="1287" t="s">
        <v>1316</v>
      </c>
      <c r="B2" s="1287"/>
      <c r="C2" s="1287"/>
      <c r="D2" s="1287"/>
      <c r="E2" s="1204"/>
      <c r="F2" s="1204"/>
      <c r="G2" s="1204"/>
      <c r="H2" s="1204"/>
      <c r="I2" s="1204"/>
    </row>
    <row r="4" spans="1:12" ht="72">
      <c r="A4" s="1255"/>
      <c r="B4" s="1255" t="s">
        <v>972</v>
      </c>
      <c r="C4" s="1255" t="s">
        <v>960</v>
      </c>
      <c r="D4" s="1255" t="s">
        <v>961</v>
      </c>
      <c r="E4" s="1255" t="s">
        <v>962</v>
      </c>
      <c r="F4" s="1255" t="s">
        <v>963</v>
      </c>
      <c r="I4" s="1561" t="s">
        <v>1206</v>
      </c>
      <c r="J4" s="1561" t="s">
        <v>1205</v>
      </c>
      <c r="K4" s="1561" t="s">
        <v>1381</v>
      </c>
      <c r="L4" s="1561" t="s">
        <v>1382</v>
      </c>
    </row>
    <row r="5" spans="1:12">
      <c r="A5" s="1207" t="s">
        <v>968</v>
      </c>
      <c r="B5" s="1209">
        <f t="shared" ref="B5:F5" si="0">SUM(B6:B8)</f>
        <v>946194.08</v>
      </c>
      <c r="C5" s="1209">
        <f t="shared" si="0"/>
        <v>1333213.96</v>
      </c>
      <c r="D5" s="1209">
        <f t="shared" si="0"/>
        <v>0</v>
      </c>
      <c r="E5" s="1209">
        <f t="shared" si="0"/>
        <v>620382.02</v>
      </c>
      <c r="F5" s="1209">
        <f t="shared" si="0"/>
        <v>1240764.04</v>
      </c>
      <c r="I5" s="1209">
        <f t="shared" ref="I5:J5" si="1">SUM(I6:I8)</f>
        <v>1528295.46</v>
      </c>
      <c r="J5" s="1209">
        <f t="shared" si="1"/>
        <v>0</v>
      </c>
      <c r="K5" s="1209">
        <f t="shared" ref="K5:L5" si="2">SUM(K6:K8)</f>
        <v>714947.54</v>
      </c>
      <c r="L5" s="1209">
        <f t="shared" si="2"/>
        <v>1429895.08</v>
      </c>
    </row>
    <row r="6" spans="1:12">
      <c r="A6" s="1250">
        <v>20</v>
      </c>
      <c r="B6" s="1208">
        <v>41389.08</v>
      </c>
      <c r="C6" s="1208">
        <v>101491.91</v>
      </c>
      <c r="D6" s="1208"/>
      <c r="E6" s="1208">
        <v>27745.89</v>
      </c>
      <c r="F6" s="1208">
        <f>E6*2</f>
        <v>55491.78</v>
      </c>
      <c r="I6" s="1208">
        <v>65803.179999999993</v>
      </c>
      <c r="J6" s="1208"/>
      <c r="K6" s="1208">
        <v>41993.15</v>
      </c>
      <c r="L6" s="1208">
        <f>K6*2</f>
        <v>83986.3</v>
      </c>
    </row>
    <row r="7" spans="1:12">
      <c r="A7" s="1250">
        <v>23</v>
      </c>
      <c r="B7" s="1208">
        <v>904805</v>
      </c>
      <c r="C7" s="1208">
        <v>1231722.05</v>
      </c>
      <c r="D7" s="1208"/>
      <c r="E7" s="1208">
        <v>592636.13</v>
      </c>
      <c r="F7" s="1208">
        <f>E7*2</f>
        <v>1185272.26</v>
      </c>
      <c r="I7" s="1208">
        <v>1462492.28</v>
      </c>
      <c r="J7" s="1208"/>
      <c r="K7" s="1208">
        <v>672954.39</v>
      </c>
      <c r="L7" s="1208">
        <f>K7*2</f>
        <v>1345908.78</v>
      </c>
    </row>
    <row r="8" spans="1:12">
      <c r="A8" s="1250">
        <v>26</v>
      </c>
      <c r="B8" s="1208"/>
      <c r="C8" s="1208"/>
      <c r="D8" s="1208"/>
      <c r="E8" s="1208"/>
      <c r="F8" s="1208"/>
      <c r="I8" s="1208"/>
      <c r="J8" s="1208"/>
      <c r="K8" s="1208"/>
      <c r="L8" s="1208"/>
    </row>
    <row r="9" spans="1:12" ht="29.25">
      <c r="A9" s="1207" t="s">
        <v>969</v>
      </c>
      <c r="B9" s="1209">
        <f>SUM(B10:B15)</f>
        <v>286917.31</v>
      </c>
      <c r="C9" s="1209">
        <f t="shared" ref="C9:D9" si="3">SUM(C10:C15)</f>
        <v>754763.06</v>
      </c>
      <c r="D9" s="1209">
        <f t="shared" si="3"/>
        <v>0</v>
      </c>
      <c r="E9" s="1209">
        <f>SUM(E10:E15)</f>
        <v>473605</v>
      </c>
      <c r="F9" s="1209">
        <f t="shared" ref="F9:H9" si="4">SUM(F10:F15)</f>
        <v>947210</v>
      </c>
      <c r="G9" s="1209">
        <f t="shared" si="4"/>
        <v>0</v>
      </c>
      <c r="H9" s="1209">
        <f t="shared" si="4"/>
        <v>0</v>
      </c>
      <c r="I9" s="1209">
        <f t="shared" ref="I9:J9" si="5">SUM(I10:I15)</f>
        <v>1087859.0699999998</v>
      </c>
      <c r="J9" s="1209">
        <f t="shared" si="5"/>
        <v>0</v>
      </c>
      <c r="K9" s="1209">
        <f t="shared" ref="K9:L9" si="6">SUM(K10:K15)</f>
        <v>763753</v>
      </c>
      <c r="L9" s="1209">
        <f t="shared" si="6"/>
        <v>1527506</v>
      </c>
    </row>
    <row r="10" spans="1:12">
      <c r="A10" s="1250">
        <v>20</v>
      </c>
      <c r="B10" s="1208">
        <v>189612.13</v>
      </c>
      <c r="C10" s="1208">
        <v>529599.75</v>
      </c>
      <c r="D10" s="1208"/>
      <c r="E10" s="1208">
        <v>306784.83</v>
      </c>
      <c r="F10" s="1208">
        <f>E10*2</f>
        <v>613569.66</v>
      </c>
      <c r="I10" s="1208">
        <v>736295.82</v>
      </c>
      <c r="J10" s="1208"/>
      <c r="K10" s="1208">
        <v>220654</v>
      </c>
      <c r="L10" s="1208">
        <f>K10*2</f>
        <v>441308</v>
      </c>
    </row>
    <row r="11" spans="1:12">
      <c r="A11" s="1250">
        <v>26</v>
      </c>
      <c r="B11" s="1208"/>
      <c r="C11" s="1208"/>
      <c r="D11" s="1208"/>
      <c r="E11" s="1208"/>
      <c r="F11" s="1208"/>
      <c r="I11" s="1208"/>
      <c r="J11" s="1208"/>
      <c r="K11" s="1208">
        <v>328500</v>
      </c>
      <c r="L11" s="1208">
        <f>K11*2</f>
        <v>657000</v>
      </c>
    </row>
    <row r="12" spans="1:12">
      <c r="A12" s="1250"/>
      <c r="B12" s="1208"/>
      <c r="C12" s="1208"/>
      <c r="D12" s="1208"/>
      <c r="E12" s="1208"/>
      <c r="F12" s="1208"/>
      <c r="I12" s="1208"/>
      <c r="J12" s="1208"/>
      <c r="K12" s="1208"/>
      <c r="L12" s="1208"/>
    </row>
    <row r="13" spans="1:12">
      <c r="A13" s="1250"/>
      <c r="B13" s="1208"/>
      <c r="C13" s="1208"/>
      <c r="D13" s="1208"/>
      <c r="E13" s="1208"/>
      <c r="F13" s="1208"/>
      <c r="I13" s="1208"/>
      <c r="J13" s="1208"/>
      <c r="K13" s="1208"/>
      <c r="L13" s="1208"/>
    </row>
    <row r="14" spans="1:12">
      <c r="A14" s="1250">
        <v>23</v>
      </c>
      <c r="B14" s="1208">
        <v>97305.18</v>
      </c>
      <c r="C14" s="1208">
        <v>225163.31</v>
      </c>
      <c r="D14" s="1208"/>
      <c r="E14" s="1208">
        <v>166820.17000000001</v>
      </c>
      <c r="F14" s="1208">
        <f t="shared" ref="F14" si="7">E14*2</f>
        <v>333640.34000000003</v>
      </c>
      <c r="I14" s="1208">
        <v>351563.25</v>
      </c>
      <c r="J14" s="1208"/>
      <c r="K14" s="1208">
        <v>214599</v>
      </c>
      <c r="L14" s="1208">
        <f t="shared" ref="L14:L15" si="8">K14*2</f>
        <v>429198</v>
      </c>
    </row>
    <row r="15" spans="1:12" hidden="1">
      <c r="A15" s="1250">
        <v>26</v>
      </c>
      <c r="B15" s="1208"/>
      <c r="C15" s="1208"/>
      <c r="D15" s="1208"/>
      <c r="E15" s="1208"/>
      <c r="F15" s="1208"/>
      <c r="I15" s="1208"/>
      <c r="J15" s="1208"/>
      <c r="K15" s="1208"/>
      <c r="L15" s="1208">
        <f t="shared" si="8"/>
        <v>0</v>
      </c>
    </row>
    <row r="16" spans="1:12" ht="43.5">
      <c r="A16" s="1207" t="s">
        <v>970</v>
      </c>
      <c r="B16" s="1209">
        <f>SUM(B17:B19)</f>
        <v>2380385.25</v>
      </c>
      <c r="C16" s="1209">
        <f t="shared" ref="C16:E16" si="9">SUM(C17:C19)</f>
        <v>5016980.07</v>
      </c>
      <c r="D16" s="1209">
        <f t="shared" si="9"/>
        <v>0</v>
      </c>
      <c r="E16" s="1209">
        <f t="shared" si="9"/>
        <v>3622042.85</v>
      </c>
      <c r="F16" s="1209">
        <f>SUM(F17:F19)</f>
        <v>7244085.7000000002</v>
      </c>
      <c r="I16" s="1209">
        <f t="shared" ref="I16:J16" si="10">SUM(I17:I19)</f>
        <v>5688425.4500000002</v>
      </c>
      <c r="J16" s="1209">
        <f t="shared" si="10"/>
        <v>0</v>
      </c>
      <c r="K16" s="1209">
        <f t="shared" ref="K16:L16" si="11">SUM(K17:K19)</f>
        <v>2505466.59</v>
      </c>
      <c r="L16" s="1209">
        <f t="shared" si="11"/>
        <v>5010933.18</v>
      </c>
    </row>
    <row r="17" spans="1:12">
      <c r="A17" s="1250">
        <v>20</v>
      </c>
      <c r="B17" s="1208">
        <v>2048202</v>
      </c>
      <c r="C17" s="1208">
        <v>3918167.67</v>
      </c>
      <c r="D17" s="1208"/>
      <c r="E17" s="1208">
        <v>1512742.27</v>
      </c>
      <c r="F17" s="1208">
        <f>E17*2</f>
        <v>3025484.54</v>
      </c>
      <c r="I17" s="1208">
        <v>2799279.75</v>
      </c>
      <c r="J17" s="1208"/>
      <c r="K17" s="1208">
        <v>925865.36</v>
      </c>
      <c r="L17" s="1208">
        <f>K17*2</f>
        <v>1851730.72</v>
      </c>
    </row>
    <row r="18" spans="1:12">
      <c r="A18" s="1250">
        <v>23</v>
      </c>
      <c r="B18" s="1208">
        <v>332183.25</v>
      </c>
      <c r="C18" s="1208">
        <v>1098812.3999999999</v>
      </c>
      <c r="D18" s="1208"/>
      <c r="E18" s="1208">
        <v>2109300.58</v>
      </c>
      <c r="F18" s="1208">
        <f>E18*2</f>
        <v>4218601.16</v>
      </c>
      <c r="I18" s="1208">
        <v>2889145.7</v>
      </c>
      <c r="J18" s="1208"/>
      <c r="K18" s="1208">
        <v>1454466.23</v>
      </c>
      <c r="L18" s="1208">
        <f>K18*2</f>
        <v>2908932.46</v>
      </c>
    </row>
    <row r="19" spans="1:12">
      <c r="A19" s="1250">
        <v>26</v>
      </c>
      <c r="B19" s="1208"/>
      <c r="C19" s="1208"/>
      <c r="D19" s="1208"/>
      <c r="E19" s="1208"/>
      <c r="F19" s="1208"/>
      <c r="I19" s="1208"/>
      <c r="J19" s="1208"/>
      <c r="K19" s="1208">
        <v>125135</v>
      </c>
      <c r="L19" s="1208">
        <f>K19*2</f>
        <v>250270</v>
      </c>
    </row>
    <row r="20" spans="1:12">
      <c r="A20" s="1207" t="s">
        <v>973</v>
      </c>
      <c r="B20" s="1209">
        <f>B21+B22+B23</f>
        <v>147470.89000000001</v>
      </c>
      <c r="C20" s="1209">
        <f t="shared" ref="C20:D20" si="12">C21+C22+C23</f>
        <v>498855.89999999997</v>
      </c>
      <c r="D20" s="1209">
        <f t="shared" si="12"/>
        <v>0</v>
      </c>
      <c r="E20" s="1209">
        <f>E21+E22+E23</f>
        <v>338861.57</v>
      </c>
      <c r="F20" s="1209">
        <f>F21+F22+F23</f>
        <v>677723.14</v>
      </c>
      <c r="I20" s="1209">
        <f t="shared" ref="I20:J20" si="13">I21+I22+I23</f>
        <v>704928.59</v>
      </c>
      <c r="J20" s="1209">
        <f t="shared" si="13"/>
        <v>0</v>
      </c>
      <c r="K20" s="1209">
        <f>K21+K22+K23+K24</f>
        <v>535388.06000000006</v>
      </c>
      <c r="L20" s="1209">
        <f>L21+L22+L23+L24</f>
        <v>1070776.1200000001</v>
      </c>
    </row>
    <row r="21" spans="1:12">
      <c r="A21" s="1250">
        <v>20</v>
      </c>
      <c r="B21" s="1208">
        <v>105163.78</v>
      </c>
      <c r="C21" s="1208">
        <v>361078.85</v>
      </c>
      <c r="D21" s="1208"/>
      <c r="E21" s="1208">
        <v>269106.05</v>
      </c>
      <c r="F21" s="1208">
        <f>E21*2</f>
        <v>538212.1</v>
      </c>
      <c r="I21" s="1208">
        <v>547506.59</v>
      </c>
      <c r="J21" s="1208"/>
      <c r="K21" s="1208">
        <f>328895</f>
        <v>328895</v>
      </c>
      <c r="L21" s="1208">
        <f>K21*2</f>
        <v>657790</v>
      </c>
    </row>
    <row r="22" spans="1:12">
      <c r="A22" s="1250">
        <v>23</v>
      </c>
      <c r="B22" s="1208">
        <v>42307.11</v>
      </c>
      <c r="C22" s="1208">
        <v>137777.04999999999</v>
      </c>
      <c r="D22" s="1208"/>
      <c r="E22" s="1208">
        <v>69755.520000000004</v>
      </c>
      <c r="F22" s="1208">
        <f t="shared" ref="F22" si="14">E22*2</f>
        <v>139511.04000000001</v>
      </c>
      <c r="I22" s="1208">
        <v>157422</v>
      </c>
      <c r="J22" s="1208"/>
      <c r="K22" s="1208">
        <v>125516</v>
      </c>
      <c r="L22" s="1208">
        <f>K22*2</f>
        <v>251032</v>
      </c>
    </row>
    <row r="23" spans="1:12" hidden="1">
      <c r="A23" s="1250">
        <v>26</v>
      </c>
      <c r="B23" s="1208"/>
      <c r="C23" s="1208"/>
      <c r="D23" s="1208"/>
      <c r="E23" s="1208"/>
      <c r="F23" s="1208"/>
      <c r="I23" s="1208"/>
      <c r="J23" s="1208"/>
      <c r="K23" s="1208"/>
      <c r="L23" s="1208">
        <f t="shared" ref="L23:L24" si="15">K23*2</f>
        <v>0</v>
      </c>
    </row>
    <row r="24" spans="1:12">
      <c r="A24" s="1250"/>
      <c r="B24" s="1208"/>
      <c r="C24" s="1208"/>
      <c r="D24" s="1208"/>
      <c r="E24" s="1208"/>
      <c r="F24" s="1208"/>
      <c r="I24" s="1208"/>
      <c r="J24" s="1208"/>
      <c r="K24" s="1208">
        <v>80977.06</v>
      </c>
      <c r="L24" s="1208">
        <f t="shared" si="15"/>
        <v>161954.12</v>
      </c>
    </row>
    <row r="25" spans="1:12">
      <c r="A25" s="1250"/>
      <c r="B25" s="1250"/>
      <c r="C25" s="1208"/>
      <c r="D25" s="1208"/>
      <c r="E25" s="1208"/>
      <c r="F25" s="1208"/>
      <c r="I25" s="1208"/>
      <c r="J25" s="1208"/>
      <c r="K25" s="1208"/>
      <c r="L25" s="1208"/>
    </row>
    <row r="26" spans="1:12">
      <c r="A26" s="1207" t="s">
        <v>971</v>
      </c>
      <c r="B26" s="1209">
        <f>B5+B9+B16+B20</f>
        <v>3760967.53</v>
      </c>
      <c r="C26" s="1209">
        <f t="shared" ref="C26:D26" si="16">C5+C9+C16+C20</f>
        <v>7603812.9900000002</v>
      </c>
      <c r="D26" s="1209">
        <f t="shared" si="16"/>
        <v>0</v>
      </c>
      <c r="E26" s="1209">
        <f>E5+E9+E16+E20</f>
        <v>5054891.4400000004</v>
      </c>
      <c r="F26" s="1209">
        <f>F5+F9+F16+F20</f>
        <v>10109782.880000001</v>
      </c>
      <c r="I26" s="1209">
        <f t="shared" ref="I26:J26" si="17">I5+I9+I16+I20</f>
        <v>9009508.5700000003</v>
      </c>
      <c r="J26" s="1209">
        <f t="shared" si="17"/>
        <v>0</v>
      </c>
      <c r="K26" s="1209">
        <f t="shared" ref="K26:L26" si="18">K5+K9+K16+K20</f>
        <v>4519555.1899999995</v>
      </c>
      <c r="L26" s="1209">
        <f t="shared" si="18"/>
        <v>9039110.379999999</v>
      </c>
    </row>
    <row r="27" spans="1:12" hidden="1">
      <c r="A27" s="1250">
        <v>20</v>
      </c>
      <c r="B27" s="1250"/>
      <c r="C27" s="1208"/>
      <c r="D27" s="1208"/>
      <c r="E27" s="1208"/>
      <c r="F27" s="1208"/>
    </row>
    <row r="28" spans="1:12" hidden="1">
      <c r="A28" s="1250">
        <v>23</v>
      </c>
      <c r="B28" s="1250"/>
      <c r="C28" s="1208"/>
      <c r="D28" s="1208"/>
      <c r="E28" s="1208"/>
      <c r="F28" s="1208"/>
    </row>
    <row r="29" spans="1:12" hidden="1">
      <c r="A29" s="1205">
        <v>26</v>
      </c>
      <c r="B29" s="1205"/>
      <c r="C29" s="1208"/>
      <c r="D29" s="1208"/>
      <c r="E29" s="1208"/>
      <c r="F29" s="1208"/>
    </row>
    <row r="30" spans="1:12" hidden="1">
      <c r="A30" s="1207"/>
      <c r="B30" s="1207"/>
      <c r="C30" s="1206"/>
      <c r="D30" s="1206"/>
      <c r="E30" s="1206"/>
      <c r="F30" s="1206"/>
    </row>
    <row r="31" spans="1:12" ht="57.75" hidden="1">
      <c r="A31" s="1253" t="s">
        <v>1278</v>
      </c>
      <c r="B31" s="1253"/>
      <c r="C31" s="1282">
        <f>C26/B26</f>
        <v>2.0217704432029491</v>
      </c>
      <c r="D31" s="1254"/>
      <c r="E31" s="1254"/>
      <c r="F31" s="1254"/>
    </row>
    <row r="32" spans="1:12" hidden="1">
      <c r="A32" s="1253"/>
      <c r="B32" s="1253"/>
      <c r="C32" s="1254"/>
      <c r="D32" s="1254"/>
      <c r="E32" s="1254"/>
      <c r="F32" s="1254"/>
    </row>
    <row r="33" spans="1:12" hidden="1">
      <c r="A33" s="1253"/>
      <c r="B33" s="1253"/>
      <c r="C33" s="1254"/>
      <c r="D33" s="1254"/>
      <c r="E33" s="1254"/>
      <c r="F33" s="1254"/>
    </row>
    <row r="34" spans="1:12" hidden="1">
      <c r="A34" s="1253"/>
      <c r="B34" s="1253"/>
      <c r="C34" s="1254"/>
      <c r="D34" s="1254"/>
      <c r="E34" s="1254"/>
      <c r="F34" s="1254"/>
    </row>
    <row r="35" spans="1:12" ht="43.5" customHeight="1">
      <c r="A35" s="3630" t="s">
        <v>975</v>
      </c>
      <c r="B35" s="3575"/>
      <c r="C35" s="3575"/>
      <c r="D35" s="3575"/>
      <c r="E35" s="3575"/>
      <c r="F35" s="3575"/>
    </row>
    <row r="36" spans="1:12" ht="43.5">
      <c r="A36" s="1207" t="s">
        <v>977</v>
      </c>
      <c r="B36" s="1206"/>
      <c r="C36" s="1209">
        <f>C37+C38</f>
        <v>9476.9620835999995</v>
      </c>
      <c r="D36" s="1206"/>
      <c r="E36" s="1206"/>
      <c r="F36" s="1209">
        <f>F37+F38</f>
        <v>9564.4236420969592</v>
      </c>
      <c r="I36" s="1209">
        <f>I26*0.96/1000</f>
        <v>8649.1282271999989</v>
      </c>
      <c r="J36" s="1209"/>
      <c r="K36" s="1209"/>
      <c r="L36" s="1209"/>
    </row>
    <row r="37" spans="1:12" ht="39" customHeight="1">
      <c r="A37" s="1250" t="s">
        <v>976</v>
      </c>
      <c r="B37" s="1205"/>
      <c r="C37" s="1208">
        <f>'расшифровки ВС_2016'!E91+'расшифровки ВС_2016'!E90</f>
        <v>5486.6264496479998</v>
      </c>
      <c r="D37" s="1205"/>
      <c r="E37" s="1205"/>
      <c r="F37" s="1208">
        <f>'расшифровки ВС_2016'!G90+'расшифровки ВС_2016'!G91</f>
        <v>5710.9975417504002</v>
      </c>
      <c r="I37" s="1208">
        <f>I36*0.59</f>
        <v>5102.9856540479996</v>
      </c>
      <c r="J37" s="1208"/>
      <c r="K37" s="1208"/>
      <c r="L37" s="1208"/>
    </row>
    <row r="38" spans="1:12" ht="37.5" customHeight="1">
      <c r="A38" s="1250" t="s">
        <v>978</v>
      </c>
      <c r="B38" s="1205"/>
      <c r="C38" s="1208">
        <f>'расшифровки ВО_2016'!E56+'расшифровки ВО_2016'!E62</f>
        <v>3990.3356339519996</v>
      </c>
      <c r="D38" s="1205"/>
      <c r="E38" s="1205"/>
      <c r="F38" s="1208">
        <f>'расшифровки ВО_2016'!G56+'расшифровки ВО_2016'!G57</f>
        <v>3853.4261003465595</v>
      </c>
      <c r="I38" s="1208">
        <f>I36*0.41</f>
        <v>3546.1425731519994</v>
      </c>
      <c r="J38" s="1208"/>
      <c r="K38" s="1208"/>
      <c r="L38" s="1208"/>
    </row>
    <row r="40" spans="1:12">
      <c r="A40" s="1204"/>
      <c r="B40" s="1204"/>
      <c r="C40" s="1204"/>
      <c r="D40" s="1204"/>
      <c r="E40" s="1204"/>
      <c r="F40" s="1204"/>
      <c r="G40" s="1204"/>
      <c r="H40" s="1204"/>
      <c r="I40" s="1204"/>
    </row>
    <row r="41" spans="1:12">
      <c r="A41" s="1204" t="s">
        <v>1047</v>
      </c>
      <c r="B41" s="1204"/>
      <c r="C41" s="1204"/>
      <c r="D41" s="1204"/>
      <c r="E41" s="1204"/>
      <c r="F41" s="1204"/>
      <c r="G41" s="1204"/>
      <c r="H41" s="1204"/>
      <c r="I41" s="1204"/>
    </row>
  </sheetData>
  <mergeCells count="1">
    <mergeCell ref="A35:F35"/>
  </mergeCells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K86"/>
  <sheetViews>
    <sheetView topLeftCell="A73" workbookViewId="0">
      <selection activeCell="E67" sqref="E67"/>
    </sheetView>
  </sheetViews>
  <sheetFormatPr defaultRowHeight="15"/>
  <cols>
    <col min="1" max="1" width="66" customWidth="1"/>
    <col min="2" max="2" width="12.5703125" customWidth="1"/>
    <col min="3" max="3" width="16.140625" customWidth="1"/>
    <col min="4" max="4" width="13.5703125" customWidth="1"/>
    <col min="5" max="5" width="14.28515625" customWidth="1"/>
    <col min="6" max="6" width="11.85546875" customWidth="1"/>
    <col min="7" max="7" width="12.28515625" customWidth="1"/>
    <col min="8" max="8" width="14.28515625" customWidth="1"/>
    <col min="9" max="9" width="13.42578125" customWidth="1"/>
  </cols>
  <sheetData>
    <row r="2" spans="1:11">
      <c r="A2" s="1252" t="s">
        <v>1046</v>
      </c>
      <c r="B2" s="1252"/>
      <c r="C2" s="1252"/>
      <c r="D2" s="1252"/>
      <c r="E2" s="1252"/>
      <c r="F2" s="1252"/>
      <c r="G2" s="1252"/>
      <c r="H2" s="1252"/>
      <c r="I2" s="1252"/>
      <c r="J2" s="1204"/>
      <c r="K2" s="1204"/>
    </row>
    <row r="3" spans="1:11">
      <c r="A3" s="1204"/>
      <c r="B3" s="1204"/>
      <c r="C3" s="1204"/>
      <c r="D3" s="1204"/>
      <c r="E3" s="1204"/>
      <c r="F3" s="1204"/>
      <c r="G3" s="1204"/>
      <c r="H3" s="1204"/>
      <c r="I3" s="1204"/>
      <c r="J3" s="1204"/>
      <c r="K3" s="1204"/>
    </row>
    <row r="4" spans="1:11">
      <c r="A4" s="1252" t="s">
        <v>990</v>
      </c>
      <c r="B4" s="1252"/>
      <c r="C4" s="1252"/>
      <c r="D4" s="1252"/>
      <c r="E4" s="1252"/>
      <c r="F4" s="1252"/>
      <c r="G4" s="1204"/>
      <c r="H4" s="1204"/>
      <c r="I4" s="1204"/>
      <c r="J4" s="1204"/>
      <c r="K4" s="1204"/>
    </row>
    <row r="5" spans="1:11">
      <c r="A5" s="1252" t="s">
        <v>989</v>
      </c>
      <c r="B5" s="1252"/>
      <c r="C5" s="1252"/>
      <c r="D5" s="1252"/>
      <c r="E5" s="1252"/>
      <c r="F5" s="1252"/>
      <c r="G5" s="1204"/>
      <c r="H5" s="1204"/>
      <c r="I5" s="1204"/>
      <c r="J5" s="1204"/>
      <c r="K5" s="1204"/>
    </row>
    <row r="6" spans="1:11">
      <c r="A6" s="1204" t="s">
        <v>979</v>
      </c>
      <c r="B6" s="1204"/>
      <c r="C6" s="1204"/>
      <c r="D6" s="1204"/>
      <c r="E6" s="1204"/>
      <c r="F6" s="1204"/>
      <c r="G6" s="1204"/>
      <c r="H6" s="1204"/>
      <c r="I6" s="1204"/>
      <c r="J6" s="1204"/>
      <c r="K6" s="1204"/>
    </row>
    <row r="7" spans="1:11">
      <c r="A7" s="1204" t="s">
        <v>980</v>
      </c>
      <c r="B7" s="1204"/>
      <c r="C7" s="1204"/>
      <c r="D7" s="1204"/>
      <c r="E7" s="1204"/>
      <c r="F7" s="1204"/>
      <c r="G7" s="1204"/>
      <c r="H7" s="1204"/>
      <c r="I7" s="1204"/>
      <c r="J7" s="1204"/>
      <c r="K7" s="1204"/>
    </row>
    <row r="8" spans="1:11">
      <c r="A8" s="1204" t="s">
        <v>982</v>
      </c>
      <c r="B8" s="1204"/>
      <c r="C8" s="1204"/>
      <c r="D8" s="1204"/>
      <c r="E8" s="1204"/>
      <c r="F8" s="1204"/>
      <c r="G8" s="1204"/>
      <c r="H8" s="1204"/>
      <c r="I8" s="1204"/>
      <c r="J8" s="1204"/>
      <c r="K8" s="1204"/>
    </row>
    <row r="9" spans="1:11">
      <c r="A9" s="1204" t="s">
        <v>981</v>
      </c>
      <c r="B9" s="1204"/>
      <c r="C9" s="1204"/>
      <c r="D9" s="1204"/>
      <c r="E9" s="1204"/>
      <c r="F9" s="1204"/>
      <c r="G9" s="1204"/>
      <c r="H9" s="1204"/>
      <c r="I9" s="1204"/>
      <c r="J9" s="1204"/>
      <c r="K9" s="1204"/>
    </row>
    <row r="10" spans="1:11">
      <c r="A10" s="1204" t="s">
        <v>983</v>
      </c>
      <c r="B10" s="1204"/>
      <c r="C10" s="1204"/>
      <c r="D10" s="1204"/>
      <c r="E10" s="1204"/>
      <c r="F10" s="1204"/>
      <c r="G10" s="1204"/>
      <c r="H10" s="1204"/>
      <c r="I10" s="1204"/>
      <c r="J10" s="1204"/>
      <c r="K10" s="1204"/>
    </row>
    <row r="11" spans="1:11">
      <c r="A11" s="1204" t="s">
        <v>984</v>
      </c>
      <c r="B11" s="1204"/>
      <c r="C11" s="1204"/>
      <c r="D11" s="1204"/>
      <c r="E11" s="1204"/>
      <c r="F11" s="1204"/>
      <c r="G11" s="1204"/>
      <c r="H11" s="1204"/>
      <c r="I11" s="1204"/>
      <c r="J11" s="1204"/>
      <c r="K11" s="1204"/>
    </row>
    <row r="12" spans="1:11">
      <c r="A12" s="1204" t="s">
        <v>985</v>
      </c>
      <c r="B12" s="1204"/>
      <c r="C12" s="1204"/>
      <c r="D12" s="1204"/>
      <c r="E12" s="1204"/>
      <c r="F12" s="1204"/>
      <c r="G12" s="1204"/>
      <c r="H12" s="1204"/>
      <c r="I12" s="1204"/>
      <c r="J12" s="1204"/>
      <c r="K12" s="1204"/>
    </row>
    <row r="13" spans="1:11">
      <c r="A13" s="1204" t="s">
        <v>986</v>
      </c>
      <c r="B13" s="1204"/>
      <c r="C13" s="1204"/>
      <c r="D13" s="1204"/>
      <c r="E13" s="1204"/>
      <c r="F13" s="1204"/>
      <c r="G13" s="1204"/>
      <c r="H13" s="1204"/>
      <c r="I13" s="1204"/>
      <c r="J13" s="1204"/>
      <c r="K13" s="1204"/>
    </row>
    <row r="14" spans="1:11">
      <c r="A14" s="1204" t="s">
        <v>987</v>
      </c>
      <c r="B14" s="1204"/>
      <c r="C14" s="1204"/>
      <c r="D14" s="1204"/>
      <c r="E14" s="1204"/>
      <c r="F14" s="1204"/>
      <c r="G14" s="1204"/>
      <c r="H14" s="1204"/>
      <c r="I14" s="1204"/>
      <c r="J14" s="1204"/>
      <c r="K14" s="1204"/>
    </row>
    <row r="15" spans="1:11">
      <c r="A15" s="1204" t="s">
        <v>988</v>
      </c>
      <c r="B15" s="1204"/>
      <c r="C15" s="1204"/>
      <c r="D15" s="1204"/>
      <c r="E15" s="1204"/>
      <c r="F15" s="1204"/>
      <c r="G15" s="1204"/>
      <c r="H15" s="1204"/>
      <c r="I15" s="1204"/>
      <c r="J15" s="1204"/>
      <c r="K15" s="1204"/>
    </row>
    <row r="16" spans="1:11">
      <c r="A16" s="1204" t="s">
        <v>1050</v>
      </c>
      <c r="B16" s="1204"/>
      <c r="C16" s="1204"/>
      <c r="D16" s="1204"/>
      <c r="E16" s="1204"/>
      <c r="F16" s="1204"/>
      <c r="G16" s="1204"/>
      <c r="H16" s="1204"/>
      <c r="I16" s="1204"/>
      <c r="J16" s="1204"/>
      <c r="K16" s="1204"/>
    </row>
    <row r="17" spans="1:11">
      <c r="A17" s="1204" t="s">
        <v>994</v>
      </c>
      <c r="B17" s="1204"/>
      <c r="C17" s="1204"/>
      <c r="D17" s="1204"/>
      <c r="E17" s="1204"/>
      <c r="F17" s="1204"/>
      <c r="G17" s="1204"/>
      <c r="H17" s="1204"/>
      <c r="I17" s="1204"/>
      <c r="J17" s="1204"/>
      <c r="K17" s="1204"/>
    </row>
    <row r="18" spans="1:11">
      <c r="A18" s="1204"/>
      <c r="B18" s="1204"/>
      <c r="C18" s="1204"/>
      <c r="D18" s="1204"/>
      <c r="E18" s="1204"/>
      <c r="F18" s="1204"/>
      <c r="G18" s="1204"/>
      <c r="H18" s="1204"/>
      <c r="I18" s="1204"/>
      <c r="J18" s="1204"/>
      <c r="K18" s="1204"/>
    </row>
    <row r="19" spans="1:11">
      <c r="A19" s="1252" t="s">
        <v>990</v>
      </c>
      <c r="B19" s="1252"/>
      <c r="C19" s="1252"/>
      <c r="D19" s="1252"/>
      <c r="E19" s="1252"/>
      <c r="F19" s="1252"/>
      <c r="G19" s="1204"/>
      <c r="H19" s="1204"/>
      <c r="I19" s="1204"/>
      <c r="J19" s="1204"/>
      <c r="K19" s="1204"/>
    </row>
    <row r="20" spans="1:11">
      <c r="A20" s="1252" t="s">
        <v>991</v>
      </c>
      <c r="B20" s="1252"/>
      <c r="C20" s="1252"/>
      <c r="D20" s="1252"/>
      <c r="E20" s="1252"/>
      <c r="F20" s="1252"/>
      <c r="G20" s="1204"/>
      <c r="H20" s="1204"/>
      <c r="I20" s="1204"/>
      <c r="J20" s="1204"/>
      <c r="K20" s="1204"/>
    </row>
    <row r="21" spans="1:11">
      <c r="A21" s="1204" t="s">
        <v>992</v>
      </c>
      <c r="B21" s="1204"/>
      <c r="C21" s="1204"/>
      <c r="D21" s="1204"/>
      <c r="E21" s="1204"/>
      <c r="F21" s="1204"/>
      <c r="G21" s="1204"/>
      <c r="H21" s="1204"/>
      <c r="I21" s="1204"/>
      <c r="J21" s="1204"/>
      <c r="K21" s="1204"/>
    </row>
    <row r="22" spans="1:11">
      <c r="A22" s="1204" t="s">
        <v>993</v>
      </c>
      <c r="B22" s="1204"/>
      <c r="C22" s="1204"/>
      <c r="D22" s="1204"/>
      <c r="E22" s="1204"/>
      <c r="F22" s="1204"/>
      <c r="G22" s="1204"/>
      <c r="H22" s="1204"/>
      <c r="I22" s="1204"/>
      <c r="J22" s="1204"/>
      <c r="K22" s="1204"/>
    </row>
    <row r="23" spans="1:11">
      <c r="A23" s="1256" t="s">
        <v>1048</v>
      </c>
      <c r="B23" s="1256"/>
      <c r="C23" s="1256"/>
      <c r="D23" s="1256"/>
      <c r="E23" s="1256"/>
      <c r="F23" s="1256"/>
      <c r="G23" s="1256"/>
      <c r="H23" s="1204"/>
      <c r="I23" s="1204"/>
      <c r="J23" s="1204"/>
      <c r="K23" s="1204"/>
    </row>
    <row r="24" spans="1:11">
      <c r="A24" s="1204" t="s">
        <v>995</v>
      </c>
      <c r="B24" s="1204"/>
      <c r="C24" s="1204"/>
      <c r="D24" s="1204"/>
      <c r="E24" s="1204"/>
      <c r="F24" s="1204"/>
      <c r="G24" s="1204"/>
      <c r="H24" s="1204"/>
      <c r="I24" s="1204"/>
      <c r="J24" s="1204"/>
      <c r="K24" s="1204"/>
    </row>
    <row r="25" spans="1:11">
      <c r="A25" s="1204" t="s">
        <v>1051</v>
      </c>
      <c r="B25" s="1204"/>
      <c r="C25" s="1204"/>
      <c r="D25" s="1204"/>
      <c r="E25" s="1204"/>
      <c r="F25" s="1204"/>
      <c r="G25" s="1204"/>
      <c r="H25" s="1204"/>
      <c r="I25" s="1204"/>
      <c r="J25" s="1204"/>
      <c r="K25" s="1204"/>
    </row>
    <row r="26" spans="1:11" hidden="1">
      <c r="A26" s="1204"/>
      <c r="B26" s="1204"/>
      <c r="C26" s="1204"/>
      <c r="D26" s="1204"/>
      <c r="E26" s="1204"/>
      <c r="F26" s="1204"/>
      <c r="G26" s="1204"/>
      <c r="H26" s="1204"/>
      <c r="I26" s="1204"/>
      <c r="J26" s="1204"/>
      <c r="K26" s="1204"/>
    </row>
    <row r="27" spans="1:11" hidden="1">
      <c r="A27" s="1204"/>
      <c r="B27" s="1204"/>
      <c r="C27" s="1204"/>
      <c r="D27" s="1204"/>
      <c r="E27" s="1204"/>
      <c r="F27" s="1204"/>
      <c r="G27" s="1204"/>
      <c r="H27" s="1204"/>
      <c r="I27" s="1204"/>
      <c r="J27" s="1204"/>
      <c r="K27" s="1204"/>
    </row>
    <row r="28" spans="1:11" hidden="1">
      <c r="A28" s="1204"/>
      <c r="B28" s="1204"/>
      <c r="C28" s="1204"/>
      <c r="D28" s="1204"/>
      <c r="E28" s="1204"/>
      <c r="F28" s="1204"/>
      <c r="G28" s="1204"/>
      <c r="H28" s="1204"/>
      <c r="I28" s="1204"/>
      <c r="J28" s="1204"/>
      <c r="K28" s="1204"/>
    </row>
    <row r="29" spans="1:11" hidden="1">
      <c r="A29" s="1204"/>
      <c r="B29" s="1204"/>
      <c r="C29" s="1204"/>
      <c r="D29" s="1204"/>
      <c r="E29" s="1204"/>
      <c r="F29" s="1204"/>
      <c r="G29" s="1204"/>
      <c r="H29" s="1204"/>
      <c r="I29" s="1204"/>
      <c r="J29" s="1204"/>
      <c r="K29" s="1204"/>
    </row>
    <row r="30" spans="1:11" hidden="1">
      <c r="A30" s="1204"/>
      <c r="B30" s="1204"/>
      <c r="C30" s="1204"/>
      <c r="D30" s="1204"/>
      <c r="E30" s="1204"/>
      <c r="F30" s="1204"/>
      <c r="G30" s="1204"/>
      <c r="H30" s="1204"/>
      <c r="I30" s="1204"/>
      <c r="J30" s="1204"/>
      <c r="K30" s="1204"/>
    </row>
    <row r="31" spans="1:11" hidden="1">
      <c r="A31" s="1204"/>
      <c r="B31" s="1204"/>
      <c r="C31" s="1204"/>
      <c r="D31" s="1204"/>
      <c r="E31" s="1204"/>
      <c r="F31" s="1204"/>
      <c r="G31" s="1204"/>
      <c r="H31" s="1204"/>
      <c r="I31" s="1204"/>
      <c r="J31" s="1204"/>
      <c r="K31" s="1204"/>
    </row>
    <row r="32" spans="1:11" hidden="1">
      <c r="A32" s="1204"/>
      <c r="B32" s="1204"/>
      <c r="C32" s="1204"/>
      <c r="D32" s="1204"/>
      <c r="E32" s="1204"/>
      <c r="F32" s="1204"/>
      <c r="G32" s="1204"/>
      <c r="H32" s="1204"/>
      <c r="I32" s="1204"/>
      <c r="J32" s="1204"/>
      <c r="K32" s="1204"/>
    </row>
    <row r="33" spans="1:11" hidden="1">
      <c r="A33" s="1204"/>
      <c r="B33" s="1204"/>
      <c r="C33" s="1204"/>
      <c r="D33" s="1204"/>
      <c r="E33" s="1204"/>
      <c r="F33" s="1204"/>
      <c r="G33" s="1204"/>
      <c r="H33" s="1204"/>
      <c r="I33" s="1204"/>
      <c r="J33" s="1204"/>
      <c r="K33" s="1204"/>
    </row>
    <row r="34" spans="1:11" hidden="1">
      <c r="A34" s="1204"/>
      <c r="B34" s="1204"/>
      <c r="C34" s="1204"/>
      <c r="D34" s="1204"/>
      <c r="E34" s="1204"/>
      <c r="F34" s="1204"/>
      <c r="G34" s="1204"/>
      <c r="H34" s="1204"/>
      <c r="I34" s="1204"/>
      <c r="J34" s="1204"/>
      <c r="K34" s="1204"/>
    </row>
    <row r="35" spans="1:11" hidden="1">
      <c r="A35" s="1204"/>
      <c r="B35" s="1204"/>
      <c r="C35" s="1204"/>
      <c r="D35" s="1204"/>
      <c r="E35" s="1204"/>
      <c r="F35" s="1204"/>
      <c r="G35" s="1204"/>
      <c r="H35" s="1204"/>
      <c r="I35" s="1204"/>
      <c r="J35" s="1204"/>
      <c r="K35" s="1204"/>
    </row>
    <row r="36" spans="1:11" hidden="1">
      <c r="A36" s="1204"/>
      <c r="B36" s="1204"/>
      <c r="C36" s="1204"/>
      <c r="D36" s="1204"/>
      <c r="E36" s="1204"/>
      <c r="F36" s="1204"/>
      <c r="G36" s="1204"/>
      <c r="H36" s="1204"/>
      <c r="I36" s="1204"/>
      <c r="J36" s="1204"/>
      <c r="K36" s="1204"/>
    </row>
    <row r="37" spans="1:11" hidden="1">
      <c r="A37" s="1204"/>
      <c r="B37" s="1204"/>
      <c r="C37" s="1204"/>
      <c r="D37" s="1204"/>
      <c r="E37" s="1204"/>
      <c r="F37" s="1204"/>
      <c r="G37" s="1204"/>
      <c r="H37" s="1204"/>
      <c r="I37" s="1204"/>
      <c r="J37" s="1204"/>
      <c r="K37" s="1204"/>
    </row>
    <row r="38" spans="1:11" hidden="1">
      <c r="A38" s="1204"/>
      <c r="B38" s="1204"/>
      <c r="C38" s="1204"/>
      <c r="D38" s="1204"/>
      <c r="E38" s="1204"/>
      <c r="F38" s="1204"/>
      <c r="G38" s="1204"/>
      <c r="H38" s="1204"/>
      <c r="I38" s="1204"/>
      <c r="J38" s="1204"/>
      <c r="K38" s="1204"/>
    </row>
    <row r="39" spans="1:11" hidden="1">
      <c r="A39" s="1204"/>
      <c r="B39" s="1204"/>
      <c r="C39" s="1204"/>
      <c r="D39" s="1204"/>
      <c r="E39" s="1204"/>
      <c r="F39" s="1204"/>
      <c r="G39" s="1204"/>
      <c r="H39" s="1204"/>
      <c r="I39" s="1204"/>
      <c r="J39" s="1204"/>
      <c r="K39" s="1204"/>
    </row>
    <row r="40" spans="1:11" hidden="1">
      <c r="A40" s="1204"/>
      <c r="B40" s="1204"/>
      <c r="C40" s="1204"/>
      <c r="D40" s="1204"/>
      <c r="E40" s="1204"/>
      <c r="F40" s="1204"/>
      <c r="G40" s="1204"/>
      <c r="H40" s="1204"/>
      <c r="I40" s="1204"/>
      <c r="J40" s="1204"/>
      <c r="K40" s="1204"/>
    </row>
    <row r="41" spans="1:11" hidden="1">
      <c r="A41" s="1205" t="s">
        <v>996</v>
      </c>
      <c r="B41" s="1208" t="s">
        <v>1000</v>
      </c>
      <c r="C41" s="1208" t="s">
        <v>1001</v>
      </c>
      <c r="D41" s="1204"/>
      <c r="E41" s="1204"/>
      <c r="F41" s="1204"/>
      <c r="G41" s="1204"/>
      <c r="H41" s="1204"/>
      <c r="I41" s="1204"/>
      <c r="J41" s="1204"/>
      <c r="K41" s="1204"/>
    </row>
    <row r="42" spans="1:11" hidden="1">
      <c r="A42" s="1205"/>
      <c r="B42" s="1208"/>
      <c r="C42" s="1208"/>
      <c r="D42" s="1204"/>
      <c r="E42" s="1204"/>
      <c r="F42" s="1204"/>
      <c r="G42" s="1204"/>
      <c r="H42" s="1204"/>
      <c r="I42" s="1204"/>
      <c r="J42" s="1204"/>
      <c r="K42" s="1204"/>
    </row>
    <row r="43" spans="1:11" hidden="1">
      <c r="A43" s="1205" t="s">
        <v>997</v>
      </c>
      <c r="B43" s="1208">
        <v>71299.179999999993</v>
      </c>
      <c r="C43" s="1208">
        <f>B43/B45</f>
        <v>0.86849431805723998</v>
      </c>
      <c r="D43" s="1204"/>
      <c r="E43" s="1204"/>
      <c r="F43" s="1204"/>
      <c r="G43" s="1204"/>
      <c r="H43" s="1204"/>
      <c r="I43" s="1204"/>
      <c r="J43" s="1204"/>
      <c r="K43" s="1204"/>
    </row>
    <row r="44" spans="1:11" hidden="1">
      <c r="A44" s="1205" t="s">
        <v>998</v>
      </c>
      <c r="B44" s="1208">
        <v>10795.98</v>
      </c>
      <c r="C44" s="1208">
        <f>B44/B45</f>
        <v>0.13150568194276011</v>
      </c>
      <c r="D44" s="1204"/>
      <c r="E44" s="1204"/>
      <c r="F44" s="1204"/>
      <c r="G44" s="1204"/>
      <c r="H44" s="1204"/>
      <c r="I44" s="1204"/>
      <c r="J44" s="1204"/>
      <c r="K44" s="1204"/>
    </row>
    <row r="45" spans="1:11" hidden="1">
      <c r="A45" s="1206" t="s">
        <v>999</v>
      </c>
      <c r="B45" s="1209">
        <f>SUM(B43:B44)</f>
        <v>82095.159999999989</v>
      </c>
      <c r="C45" s="1209"/>
      <c r="D45" s="1204"/>
      <c r="E45" s="1204"/>
      <c r="F45" s="1204"/>
      <c r="G45" s="1204"/>
      <c r="H45" s="1204"/>
      <c r="I45" s="1204"/>
      <c r="J45" s="1204"/>
      <c r="K45" s="1204"/>
    </row>
    <row r="46" spans="1:11" hidden="1">
      <c r="A46" s="1206"/>
      <c r="B46" s="1209"/>
      <c r="C46" s="1209"/>
      <c r="D46" s="1204"/>
      <c r="E46" s="1204"/>
      <c r="F46" s="1204"/>
      <c r="G46" s="1204"/>
      <c r="H46" s="1204"/>
      <c r="I46" s="1204"/>
      <c r="J46" s="1204"/>
      <c r="K46" s="1204"/>
    </row>
    <row r="47" spans="1:11" hidden="1">
      <c r="A47" s="1205" t="s">
        <v>1009</v>
      </c>
      <c r="B47" s="1209" t="s">
        <v>1010</v>
      </c>
      <c r="C47" s="1209" t="s">
        <v>1011</v>
      </c>
      <c r="D47" s="1252"/>
      <c r="E47" s="1252"/>
      <c r="F47" s="1204"/>
      <c r="G47" s="1204"/>
      <c r="H47" s="1204"/>
      <c r="I47" s="1204"/>
      <c r="J47" s="1204"/>
      <c r="K47" s="1204"/>
    </row>
    <row r="48" spans="1:11" hidden="1">
      <c r="A48" s="1205" t="s">
        <v>1007</v>
      </c>
      <c r="B48" s="1257">
        <f>'Смета ВС_2016'!E36</f>
        <v>5264.6983200000004</v>
      </c>
      <c r="C48" s="1205"/>
      <c r="D48" s="1204"/>
      <c r="E48" s="1204"/>
      <c r="F48" s="1204"/>
      <c r="G48" s="1204"/>
      <c r="H48" s="1204"/>
      <c r="I48" s="1204"/>
      <c r="J48" s="1204"/>
      <c r="K48" s="1204"/>
    </row>
    <row r="49" spans="1:11" hidden="1">
      <c r="A49" s="1205" t="s">
        <v>1002</v>
      </c>
      <c r="B49" s="1257">
        <f>'Смета ВС_2016'!E37</f>
        <v>1589.9388926399999</v>
      </c>
      <c r="C49" s="1205"/>
      <c r="D49" s="1204"/>
      <c r="E49" s="1204"/>
      <c r="F49" s="1204"/>
      <c r="G49" s="1204"/>
      <c r="H49" s="1204"/>
      <c r="I49" s="1204"/>
      <c r="J49" s="1204"/>
      <c r="K49" s="1204"/>
    </row>
    <row r="50" spans="1:11" hidden="1">
      <c r="A50" s="1205" t="s">
        <v>1003</v>
      </c>
      <c r="B50" s="1261">
        <f>B48*0.87</f>
        <v>4580.2875383999999</v>
      </c>
      <c r="C50" s="1205"/>
      <c r="D50" s="1204"/>
      <c r="E50" s="1204"/>
      <c r="F50" s="1204"/>
      <c r="G50" s="1204"/>
      <c r="H50" s="1204"/>
      <c r="I50" s="1204"/>
      <c r="J50" s="1204"/>
      <c r="K50" s="1204"/>
    </row>
    <row r="51" spans="1:11" hidden="1">
      <c r="A51" s="1205" t="s">
        <v>1004</v>
      </c>
      <c r="B51" s="1261">
        <f>B49*0.87</f>
        <v>1383.2468365968</v>
      </c>
      <c r="C51" s="1205"/>
      <c r="D51" s="1260"/>
      <c r="E51" s="1204"/>
      <c r="F51" s="1204"/>
      <c r="G51" s="1204"/>
      <c r="H51" s="1204"/>
      <c r="I51" s="1204"/>
      <c r="J51" s="1204"/>
      <c r="K51" s="1204"/>
    </row>
    <row r="52" spans="1:11" hidden="1">
      <c r="A52" s="1258" t="s">
        <v>1005</v>
      </c>
      <c r="B52" s="1259">
        <f>B48*0.13</f>
        <v>684.41078160000006</v>
      </c>
      <c r="C52" s="1258"/>
      <c r="D52" s="1204"/>
      <c r="E52" s="1204"/>
      <c r="F52" s="1204"/>
      <c r="G52" s="1204"/>
      <c r="H52" s="1204"/>
      <c r="I52" s="1204"/>
      <c r="J52" s="1204"/>
      <c r="K52" s="1204"/>
    </row>
    <row r="53" spans="1:11" hidden="1">
      <c r="A53" s="1258" t="s">
        <v>1006</v>
      </c>
      <c r="B53" s="1259">
        <f>B49*0.13</f>
        <v>206.69205604320001</v>
      </c>
      <c r="C53" s="1258"/>
      <c r="D53" s="1204"/>
      <c r="E53" s="1204"/>
      <c r="F53" s="1204"/>
      <c r="G53" s="1204"/>
      <c r="H53" s="1204"/>
      <c r="I53" s="1204"/>
      <c r="J53" s="1204"/>
      <c r="K53" s="1204"/>
    </row>
    <row r="54" spans="1:11" hidden="1">
      <c r="A54" s="1205"/>
      <c r="B54" s="1205"/>
      <c r="C54" s="1205"/>
      <c r="D54" s="1204"/>
      <c r="E54" s="1204"/>
      <c r="F54" s="1204"/>
      <c r="G54" s="1204"/>
      <c r="H54" s="1204"/>
      <c r="I54" s="1204"/>
      <c r="J54" s="1204"/>
      <c r="K54" s="1204"/>
    </row>
    <row r="55" spans="1:11" hidden="1">
      <c r="A55" s="1204"/>
      <c r="B55" s="1204"/>
      <c r="C55" s="1204"/>
      <c r="D55" s="1204"/>
      <c r="E55" s="1204"/>
      <c r="F55" s="1204"/>
      <c r="G55" s="1204"/>
      <c r="H55" s="1204"/>
      <c r="I55" s="1204"/>
      <c r="J55" s="1204"/>
      <c r="K55" s="1204"/>
    </row>
    <row r="56" spans="1:11" hidden="1">
      <c r="A56" s="1205" t="s">
        <v>1008</v>
      </c>
      <c r="B56" s="1257">
        <f>'Зар.плата осн.персонала'!E265</f>
        <v>3658.4855999999995</v>
      </c>
      <c r="C56" s="1205"/>
      <c r="D56" s="1204"/>
      <c r="E56" s="1204"/>
      <c r="F56" s="1204"/>
      <c r="G56" s="1204"/>
      <c r="H56" s="1204"/>
      <c r="I56" s="1204"/>
      <c r="J56" s="1204"/>
      <c r="K56" s="1204"/>
    </row>
    <row r="57" spans="1:11" hidden="1">
      <c r="A57" s="1205" t="s">
        <v>1002</v>
      </c>
      <c r="B57" s="1257">
        <f>'Зар.плата осн.персонала'!E267</f>
        <v>1104.8626511999998</v>
      </c>
      <c r="C57" s="1205"/>
    </row>
    <row r="58" spans="1:11" hidden="1">
      <c r="A58" s="1205" t="s">
        <v>1003</v>
      </c>
      <c r="B58" s="1261">
        <f>B56*0.87</f>
        <v>3182.8824719999998</v>
      </c>
      <c r="C58" s="1205"/>
    </row>
    <row r="59" spans="1:11" hidden="1">
      <c r="A59" s="1205" t="s">
        <v>1004</v>
      </c>
      <c r="B59" s="1261">
        <f>B57*0.87</f>
        <v>961.23050654399981</v>
      </c>
      <c r="C59" s="1205"/>
    </row>
    <row r="60" spans="1:11" hidden="1">
      <c r="A60" s="1258" t="s">
        <v>1005</v>
      </c>
      <c r="B60" s="1259">
        <f>B56*0.13</f>
        <v>475.60312799999997</v>
      </c>
      <c r="C60" s="1258"/>
    </row>
    <row r="61" spans="1:11" hidden="1">
      <c r="A61" s="1258" t="s">
        <v>1006</v>
      </c>
      <c r="B61" s="1259">
        <f>B57*0.13</f>
        <v>143.63214465599998</v>
      </c>
      <c r="C61" s="1258"/>
    </row>
    <row r="62" spans="1:11" hidden="1"/>
    <row r="63" spans="1:11" hidden="1"/>
    <row r="64" spans="1:11">
      <c r="A64" s="1204" t="s">
        <v>1052</v>
      </c>
    </row>
    <row r="66" spans="1:9">
      <c r="A66" s="1204" t="s">
        <v>1047</v>
      </c>
    </row>
    <row r="67" spans="1:9">
      <c r="A67" s="1204"/>
      <c r="H67" s="1204"/>
    </row>
    <row r="68" spans="1:9">
      <c r="A68" s="1254" t="s">
        <v>1013</v>
      </c>
      <c r="H68" s="1204" t="s">
        <v>1049</v>
      </c>
    </row>
    <row r="69" spans="1:9">
      <c r="A69" s="1254"/>
      <c r="B69" s="56"/>
      <c r="C69" s="56"/>
      <c r="I69" s="1286" t="s">
        <v>1000</v>
      </c>
    </row>
    <row r="70" spans="1:9" ht="30">
      <c r="A70" s="1205" t="s">
        <v>1013</v>
      </c>
      <c r="B70" s="1262" t="s">
        <v>1014</v>
      </c>
      <c r="C70" s="1262" t="s">
        <v>1010</v>
      </c>
      <c r="D70" s="1262" t="s">
        <v>1011</v>
      </c>
      <c r="E70" s="1262" t="s">
        <v>1015</v>
      </c>
      <c r="F70" s="1262" t="s">
        <v>1016</v>
      </c>
      <c r="G70" s="1262" t="s">
        <v>1017</v>
      </c>
      <c r="H70" s="1262" t="s">
        <v>1018</v>
      </c>
      <c r="I70" s="1262" t="s">
        <v>1019</v>
      </c>
    </row>
    <row r="71" spans="1:9" ht="30">
      <c r="A71" s="1250" t="s">
        <v>1020</v>
      </c>
      <c r="B71" s="1205"/>
      <c r="C71" s="1205"/>
      <c r="D71" s="1205"/>
      <c r="E71" s="1205"/>
      <c r="F71" s="1205"/>
      <c r="G71" s="1205"/>
      <c r="H71" s="1205"/>
      <c r="I71" s="1205"/>
    </row>
    <row r="72" spans="1:9">
      <c r="A72" s="1206" t="s">
        <v>1021</v>
      </c>
      <c r="B72" s="1257">
        <f>'Смета ВС_2016'!D34</f>
        <v>80028.299999999988</v>
      </c>
      <c r="C72" s="1257">
        <v>44243.108</v>
      </c>
      <c r="D72" s="1257">
        <f>'расшифровки ВС_2016'!F321</f>
        <v>28063.864419999998</v>
      </c>
      <c r="E72" s="1257">
        <f>26434</f>
        <v>26434</v>
      </c>
      <c r="F72" s="1257">
        <v>40377.83</v>
      </c>
      <c r="G72" s="1257">
        <v>33794.173999999999</v>
      </c>
      <c r="H72" s="1257">
        <v>42855.518000000004</v>
      </c>
      <c r="I72" s="1257">
        <v>38602.800000000003</v>
      </c>
    </row>
    <row r="73" spans="1:9">
      <c r="A73" s="1205" t="s">
        <v>1022</v>
      </c>
      <c r="B73" s="1257">
        <f>B74+B75</f>
        <v>0</v>
      </c>
      <c r="C73" s="1261">
        <f>C74+C75</f>
        <v>4601.1495703143592</v>
      </c>
      <c r="D73" s="1261">
        <f t="shared" ref="D73:I73" si="0">D74+D75</f>
        <v>0</v>
      </c>
      <c r="E73" s="1261">
        <f t="shared" si="0"/>
        <v>2754.9578276640004</v>
      </c>
      <c r="F73" s="1261">
        <f t="shared" si="0"/>
        <v>5509.9156553280009</v>
      </c>
      <c r="G73" s="1261">
        <f t="shared" si="0"/>
        <v>5730.3122815411207</v>
      </c>
      <c r="H73" s="1261">
        <f t="shared" si="0"/>
        <v>5959.5247728027662</v>
      </c>
      <c r="I73" s="1261">
        <f t="shared" si="0"/>
        <v>6197.9057637148771</v>
      </c>
    </row>
    <row r="74" spans="1:9" ht="30">
      <c r="A74" s="1250" t="s">
        <v>1023</v>
      </c>
      <c r="B74" s="1205"/>
      <c r="C74" s="1263">
        <f>6769940.69*0.87/1000*0.6</f>
        <v>3533.9090401799995</v>
      </c>
      <c r="D74" s="1263"/>
      <c r="E74" s="1263">
        <f>3526571.72/1000*0.6</f>
        <v>2115.9430320000001</v>
      </c>
      <c r="F74" s="1263">
        <f>E74*2</f>
        <v>4231.8860640000003</v>
      </c>
      <c r="G74" s="1263">
        <f t="shared" ref="G74:I75" si="1">F74*1.04</f>
        <v>4401.1615065600008</v>
      </c>
      <c r="H74" s="1263">
        <f t="shared" si="1"/>
        <v>4577.2079668224014</v>
      </c>
      <c r="I74" s="1263">
        <f t="shared" si="1"/>
        <v>4760.2962854952975</v>
      </c>
    </row>
    <row r="75" spans="1:9" ht="30">
      <c r="A75" s="1250" t="s">
        <v>1024</v>
      </c>
      <c r="B75" s="1205"/>
      <c r="C75" s="1263">
        <f>C74*0.302</f>
        <v>1067.2405301343599</v>
      </c>
      <c r="D75" s="1263"/>
      <c r="E75" s="1263">
        <f>E74*0.302</f>
        <v>639.01479566400008</v>
      </c>
      <c r="F75" s="1263">
        <f>E75*2</f>
        <v>1278.0295913280002</v>
      </c>
      <c r="G75" s="1263">
        <f t="shared" si="1"/>
        <v>1329.1507749811201</v>
      </c>
      <c r="H75" s="1263">
        <f t="shared" si="1"/>
        <v>1382.316805980365</v>
      </c>
      <c r="I75" s="1263">
        <f t="shared" si="1"/>
        <v>1437.6094782195796</v>
      </c>
    </row>
    <row r="76" spans="1:9" ht="29.25">
      <c r="A76" s="1207" t="s">
        <v>1025</v>
      </c>
      <c r="B76" s="1209">
        <f>'расшифровки ВС_2016'!D321</f>
        <v>80028.299999999988</v>
      </c>
      <c r="C76" s="1264">
        <f>C72-C73</f>
        <v>39641.958429685641</v>
      </c>
      <c r="D76" s="1264">
        <v>80028.3</v>
      </c>
      <c r="E76" s="1264">
        <f t="shared" ref="E76:I76" si="2">E72-E73</f>
        <v>23679.042172335998</v>
      </c>
      <c r="F76" s="1264">
        <f t="shared" si="2"/>
        <v>34867.914344671997</v>
      </c>
      <c r="G76" s="1264">
        <f t="shared" si="2"/>
        <v>28063.86171845888</v>
      </c>
      <c r="H76" s="1264">
        <f t="shared" si="2"/>
        <v>36895.993227197236</v>
      </c>
      <c r="I76" s="1264">
        <f t="shared" si="2"/>
        <v>32404.894236285127</v>
      </c>
    </row>
    <row r="77" spans="1:9">
      <c r="A77" s="1205"/>
      <c r="B77" s="1205"/>
      <c r="C77" s="1263"/>
      <c r="D77" s="1263"/>
      <c r="E77" s="1263"/>
      <c r="F77" s="1263"/>
      <c r="G77" s="1263"/>
      <c r="H77" s="1263"/>
      <c r="I77" s="1263"/>
    </row>
    <row r="78" spans="1:9">
      <c r="A78" s="1205"/>
      <c r="B78" s="1205"/>
      <c r="C78" s="1263"/>
      <c r="D78" s="1263"/>
      <c r="E78" s="1263"/>
      <c r="F78" s="1263"/>
      <c r="G78" s="1263"/>
      <c r="H78" s="1263"/>
      <c r="I78" s="1263"/>
    </row>
    <row r="79" spans="1:9">
      <c r="A79" s="1206" t="s">
        <v>1030</v>
      </c>
      <c r="B79" s="1257">
        <f>'расшифровки ВО_2016'!D351</f>
        <v>49684.4</v>
      </c>
      <c r="C79" s="1257">
        <v>27056.067000000003</v>
      </c>
      <c r="D79" s="1257">
        <f>'расшифровки ВО_2016'!F351</f>
        <v>10011.700000000001</v>
      </c>
      <c r="E79" s="1257">
        <v>5898</v>
      </c>
      <c r="F79" s="1257">
        <v>10338.116</v>
      </c>
      <c r="G79" s="1257">
        <v>13831.904</v>
      </c>
      <c r="H79" s="1257">
        <v>6963.4440000000004</v>
      </c>
      <c r="I79" s="1257">
        <v>9055.4050000000007</v>
      </c>
    </row>
    <row r="80" spans="1:9">
      <c r="A80" s="1205" t="s">
        <v>1022</v>
      </c>
      <c r="B80" s="1257">
        <f>B81+B82</f>
        <v>0</v>
      </c>
      <c r="C80" s="1261">
        <f>C81+C82</f>
        <v>3067.43304687624</v>
      </c>
      <c r="D80" s="1261">
        <f t="shared" ref="D80:I80" si="3">D81+D82</f>
        <v>0</v>
      </c>
      <c r="E80" s="1261">
        <f t="shared" si="3"/>
        <v>1836.6385517760002</v>
      </c>
      <c r="F80" s="1261">
        <f t="shared" si="3"/>
        <v>3673.2771035520004</v>
      </c>
      <c r="G80" s="1261">
        <f t="shared" si="3"/>
        <v>3820.2081876940811</v>
      </c>
      <c r="H80" s="1261">
        <f t="shared" si="3"/>
        <v>3820.2081876940811</v>
      </c>
      <c r="I80" s="1261">
        <f t="shared" si="3"/>
        <v>3820.2081876940811</v>
      </c>
    </row>
    <row r="81" spans="1:9" ht="30">
      <c r="A81" s="1250" t="s">
        <v>1023</v>
      </c>
      <c r="B81" s="1205"/>
      <c r="C81" s="1263">
        <f>6769940.69*0.87/1000*0.4</f>
        <v>2355.9393601199999</v>
      </c>
      <c r="D81" s="1263"/>
      <c r="E81" s="1263">
        <f>3526571.72/1000*0.4</f>
        <v>1410.6286880000002</v>
      </c>
      <c r="F81" s="1263">
        <f>E81*2</f>
        <v>2821.2573760000005</v>
      </c>
      <c r="G81" s="1263">
        <f>F81*1.04</f>
        <v>2934.1076710400007</v>
      </c>
      <c r="H81" s="1263">
        <f t="shared" ref="H81:I81" si="4">G81</f>
        <v>2934.1076710400007</v>
      </c>
      <c r="I81" s="1263">
        <f t="shared" si="4"/>
        <v>2934.1076710400007</v>
      </c>
    </row>
    <row r="82" spans="1:9" ht="30">
      <c r="A82" s="1250" t="s">
        <v>1024</v>
      </c>
      <c r="B82" s="1205"/>
      <c r="C82" s="1263">
        <f>C81*0.302</f>
        <v>711.49368675623998</v>
      </c>
      <c r="D82" s="1263"/>
      <c r="E82" s="1263">
        <f>E81*0.302</f>
        <v>426.00986377600003</v>
      </c>
      <c r="F82" s="1263">
        <f t="shared" ref="F82:I82" si="5">F81*0.302</f>
        <v>852.01972755200006</v>
      </c>
      <c r="G82" s="1263">
        <f t="shared" si="5"/>
        <v>886.10051665408014</v>
      </c>
      <c r="H82" s="1263">
        <f t="shared" si="5"/>
        <v>886.10051665408014</v>
      </c>
      <c r="I82" s="1263">
        <f t="shared" si="5"/>
        <v>886.10051665408014</v>
      </c>
    </row>
    <row r="83" spans="1:9" ht="29.25">
      <c r="A83" s="1283" t="s">
        <v>1025</v>
      </c>
      <c r="B83" s="1284"/>
      <c r="C83" s="1285">
        <f>C79-C80</f>
        <v>23988.633953123761</v>
      </c>
      <c r="D83" s="1285">
        <f t="shared" ref="D83:I83" si="6">D79-D80</f>
        <v>10011.700000000001</v>
      </c>
      <c r="E83" s="1285">
        <f t="shared" si="6"/>
        <v>4061.361448224</v>
      </c>
      <c r="F83" s="1285">
        <f t="shared" si="6"/>
        <v>6664.838896448</v>
      </c>
      <c r="G83" s="1285">
        <f t="shared" si="6"/>
        <v>10011.695812305919</v>
      </c>
      <c r="H83" s="1285">
        <f t="shared" si="6"/>
        <v>3143.2358123059194</v>
      </c>
      <c r="I83" s="1285">
        <f t="shared" si="6"/>
        <v>5235.1968123059196</v>
      </c>
    </row>
    <row r="84" spans="1:9" hidden="1">
      <c r="A84" s="1205"/>
      <c r="B84" s="1205"/>
      <c r="C84" s="1263"/>
      <c r="D84" s="1263"/>
      <c r="E84" s="1263"/>
      <c r="F84" s="1263"/>
      <c r="G84" s="1263"/>
      <c r="H84" s="1263"/>
      <c r="I84" s="1263"/>
    </row>
    <row r="86" spans="1:9">
      <c r="A86" s="1204" t="s">
        <v>1047</v>
      </c>
    </row>
  </sheetData>
  <pageMargins left="0.31496062992125984" right="0.31496062992125984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L27"/>
  <sheetViews>
    <sheetView topLeftCell="A13" workbookViewId="0">
      <selection activeCell="K20" sqref="K20"/>
    </sheetView>
  </sheetViews>
  <sheetFormatPr defaultRowHeight="15"/>
  <cols>
    <col min="1" max="1" width="6.140625" customWidth="1"/>
    <col min="2" max="2" width="31.42578125" customWidth="1"/>
    <col min="4" max="4" width="12.140625" bestFit="1" customWidth="1"/>
    <col min="5" max="5" width="14.140625" customWidth="1"/>
    <col min="6" max="6" width="14" customWidth="1"/>
    <col min="7" max="10" width="13.5703125" customWidth="1"/>
    <col min="11" max="11" width="14.42578125" customWidth="1"/>
    <col min="12" max="12" width="16.85546875" customWidth="1"/>
  </cols>
  <sheetData>
    <row r="1" spans="1:12">
      <c r="H1" s="1815"/>
      <c r="I1" s="1815"/>
      <c r="J1" s="1815"/>
      <c r="K1" s="1815"/>
      <c r="L1" s="1815"/>
    </row>
    <row r="2" spans="1:12">
      <c r="A2" s="57" t="s">
        <v>1534</v>
      </c>
      <c r="B2" s="57"/>
      <c r="H2" s="2432">
        <v>8970.3451562000555</v>
      </c>
      <c r="I2" s="2432">
        <v>16215.027220399934</v>
      </c>
      <c r="J2" s="2432">
        <v>15562.273324477952</v>
      </c>
      <c r="K2" s="2432">
        <v>22652.614566665492</v>
      </c>
      <c r="L2" s="2432"/>
    </row>
    <row r="3" spans="1:12" ht="16.5" thickBot="1">
      <c r="B3" s="3394" t="s">
        <v>1429</v>
      </c>
      <c r="C3" s="3394"/>
      <c r="D3" s="3395"/>
      <c r="E3" s="3395"/>
      <c r="F3" s="3395"/>
      <c r="G3" s="3395"/>
      <c r="H3" s="2412"/>
      <c r="I3" s="2412"/>
      <c r="J3" s="2439"/>
      <c r="K3" s="2439"/>
      <c r="L3" s="2439"/>
    </row>
    <row r="4" spans="1:12" ht="16.5" thickBot="1">
      <c r="A4" s="3389" t="s">
        <v>0</v>
      </c>
      <c r="B4" s="3383" t="s">
        <v>1</v>
      </c>
      <c r="C4" s="3389" t="s">
        <v>789</v>
      </c>
      <c r="D4" s="3403" t="s">
        <v>1726</v>
      </c>
      <c r="E4" s="3404"/>
      <c r="F4" s="3404"/>
      <c r="G4" s="3404"/>
      <c r="H4" s="3404"/>
      <c r="I4" s="3404"/>
      <c r="J4" s="3405"/>
      <c r="K4" s="3406" t="s">
        <v>1460</v>
      </c>
      <c r="L4" s="3407"/>
    </row>
    <row r="5" spans="1:12" ht="30" customHeight="1">
      <c r="A5" s="3401"/>
      <c r="B5" s="3402"/>
      <c r="C5" s="3401"/>
      <c r="D5" s="3396" t="s">
        <v>1430</v>
      </c>
      <c r="E5" s="3397"/>
      <c r="F5" s="3398" t="s">
        <v>1431</v>
      </c>
      <c r="G5" s="3397"/>
      <c r="H5" s="2413" t="s">
        <v>1519</v>
      </c>
      <c r="I5" s="2414" t="s">
        <v>1520</v>
      </c>
      <c r="J5" s="3408" t="s">
        <v>1684</v>
      </c>
      <c r="K5" s="3399" t="s">
        <v>1684</v>
      </c>
      <c r="L5" s="3410" t="s">
        <v>1061</v>
      </c>
    </row>
    <row r="6" spans="1:12" ht="15.75" thickBot="1">
      <c r="A6" s="3390"/>
      <c r="B6" s="3384"/>
      <c r="C6" s="3390"/>
      <c r="D6" s="2887" t="s">
        <v>5</v>
      </c>
      <c r="E6" s="2279" t="s">
        <v>6</v>
      </c>
      <c r="F6" s="2279" t="s">
        <v>5</v>
      </c>
      <c r="G6" s="2279" t="s">
        <v>798</v>
      </c>
      <c r="H6" s="2279" t="s">
        <v>6</v>
      </c>
      <c r="I6" s="2279" t="s">
        <v>8</v>
      </c>
      <c r="J6" s="3409"/>
      <c r="K6" s="3400"/>
      <c r="L6" s="3411"/>
    </row>
    <row r="7" spans="1:12" ht="27.75" customHeight="1">
      <c r="A7" s="2896">
        <v>1</v>
      </c>
      <c r="B7" s="2897" t="s">
        <v>1429</v>
      </c>
      <c r="C7" s="2898" t="s">
        <v>164</v>
      </c>
      <c r="D7" s="25"/>
      <c r="E7" s="25"/>
      <c r="F7" s="25"/>
      <c r="G7" s="25"/>
      <c r="H7" s="25"/>
      <c r="I7" s="25"/>
      <c r="J7" s="25"/>
      <c r="K7" s="2899">
        <f>K8+K20+K21</f>
        <v>462154.92801828298</v>
      </c>
      <c r="L7" s="25"/>
    </row>
    <row r="8" spans="1:12">
      <c r="A8" s="2892" t="s">
        <v>10</v>
      </c>
      <c r="B8" s="2889" t="s">
        <v>1433</v>
      </c>
      <c r="C8" s="2889" t="s">
        <v>164</v>
      </c>
      <c r="D8" s="2889"/>
      <c r="E8" s="2889"/>
      <c r="F8" s="2889"/>
      <c r="G8" s="2889"/>
      <c r="H8" s="2888">
        <v>163715.11061975404</v>
      </c>
      <c r="I8" s="2888">
        <v>359548.83979948174</v>
      </c>
      <c r="J8" s="2888">
        <v>394085.94856507372</v>
      </c>
      <c r="K8" s="2894">
        <f>K9+K10+K11++K13+K14+K15</f>
        <v>356966.58150891081</v>
      </c>
      <c r="L8" s="2888"/>
    </row>
    <row r="9" spans="1:12" ht="30" customHeight="1">
      <c r="A9" s="2282" t="s">
        <v>12</v>
      </c>
      <c r="B9" s="2294" t="s">
        <v>1434</v>
      </c>
      <c r="C9" s="1" t="s">
        <v>164</v>
      </c>
      <c r="D9" s="1344">
        <f>'[6]расшифровки ВС_2016'!D92</f>
        <v>89554.618036984437</v>
      </c>
      <c r="E9" s="1344">
        <f>'[6]расшифровки ВС_2016'!E92</f>
        <v>88830.586908536119</v>
      </c>
      <c r="F9" s="1344">
        <f>'[6]расшифровки ВС_2016'!F92</f>
        <v>88365.02600241972</v>
      </c>
      <c r="G9" s="1344">
        <f>'[6]расшифровки ВС_2016'!G92</f>
        <v>101649.7911192422</v>
      </c>
      <c r="H9" s="1344">
        <f>'Смета ВС_2016'!H11</f>
        <v>47095.118982287357</v>
      </c>
      <c r="I9" s="1344">
        <f>'Смета ВС_2016'!I11</f>
        <v>116387.75244241621</v>
      </c>
      <c r="J9" s="1344">
        <f>'Смета ВС_2016'!J11</f>
        <v>162700.66830793064</v>
      </c>
      <c r="K9" s="2890">
        <f>'Смета ВС_2016'!M11</f>
        <v>109769.91409646446</v>
      </c>
      <c r="L9" s="1"/>
    </row>
    <row r="10" spans="1:12" ht="58.5" customHeight="1">
      <c r="A10" s="2282" t="s">
        <v>14</v>
      </c>
      <c r="B10" s="2294" t="s">
        <v>1732</v>
      </c>
      <c r="C10" s="1" t="s">
        <v>164</v>
      </c>
      <c r="D10" s="416"/>
      <c r="E10" s="1"/>
      <c r="F10" s="1"/>
      <c r="G10" s="1"/>
      <c r="H10" s="1"/>
      <c r="I10" s="1"/>
      <c r="J10" s="1"/>
      <c r="K10" s="2890">
        <f>'Смета ВС_2016'!M19</f>
        <v>1097.361787</v>
      </c>
      <c r="L10" s="1"/>
    </row>
    <row r="11" spans="1:12" ht="74.25" customHeight="1">
      <c r="A11" s="2282" t="s">
        <v>16</v>
      </c>
      <c r="B11" s="2294" t="s">
        <v>1436</v>
      </c>
      <c r="C11" s="1" t="s">
        <v>164</v>
      </c>
      <c r="D11" s="1344">
        <f>'[6]Смета ВС_2016'!D23</f>
        <v>99078.6</v>
      </c>
      <c r="E11" s="1344">
        <f>'[6]Смета ВС_2016'!E23</f>
        <v>161397.15701400003</v>
      </c>
      <c r="F11" s="1344">
        <f>'[6]Смета ВС_2016'!F23</f>
        <v>166992.19523449324</v>
      </c>
      <c r="G11" s="1344">
        <f>'[6]Смета ВС_2016'!G23</f>
        <v>178698.94954560001</v>
      </c>
      <c r="H11" s="1344">
        <f>'Смета ВС_2016'!H23</f>
        <v>82328.2785</v>
      </c>
      <c r="I11" s="1344">
        <f>'Смета ВС_2016'!I23</f>
        <v>172323.99966600002</v>
      </c>
      <c r="J11" s="1344">
        <f>'Смета ВС_2016'!J23</f>
        <v>164992.3734288</v>
      </c>
      <c r="K11" s="2890">
        <f>'Смета ВС_2016'!M22</f>
        <v>214820.0702042976</v>
      </c>
      <c r="L11" s="1"/>
    </row>
    <row r="12" spans="1:12" ht="25.5" customHeight="1">
      <c r="A12" s="2282" t="s">
        <v>1437</v>
      </c>
      <c r="B12" s="1301" t="s">
        <v>1438</v>
      </c>
      <c r="C12" s="1" t="s">
        <v>164</v>
      </c>
      <c r="D12" s="1344">
        <f>'[6]Смета ВС_2016'!D24</f>
        <v>29921.7</v>
      </c>
      <c r="E12" s="1344">
        <f>'[6]Смета ВС_2016'!E24</f>
        <v>48741.941418228009</v>
      </c>
      <c r="F12" s="1344">
        <f>'[6]Смета ВС_2016'!F24</f>
        <v>50431.642960816956</v>
      </c>
      <c r="G12" s="1344">
        <f>'[6]Смета ВС_2016'!G24</f>
        <v>53967.082762771199</v>
      </c>
      <c r="H12" s="1344">
        <f>'Смета ВС_2016'!H24</f>
        <v>24863.140106999999</v>
      </c>
      <c r="I12" s="1344">
        <f>'Смета ВС_2016'!I24</f>
        <v>52041.847899132008</v>
      </c>
      <c r="J12" s="1344">
        <f>'Смета ВС_2016'!J24</f>
        <v>49827.696775497599</v>
      </c>
      <c r="K12" s="2890">
        <f>'Смета ВС_2016'!M24</f>
        <v>49827.696775497599</v>
      </c>
      <c r="L12" s="1"/>
    </row>
    <row r="13" spans="1:12" ht="60.75" customHeight="1">
      <c r="A13" s="2282" t="s">
        <v>181</v>
      </c>
      <c r="B13" s="2294" t="s">
        <v>1727</v>
      </c>
      <c r="C13" s="1" t="s">
        <v>164</v>
      </c>
      <c r="D13" s="1344">
        <f>'[6]Смета ВС_2016'!D25</f>
        <v>7134.3047967231996</v>
      </c>
      <c r="E13" s="1344">
        <f>'[6]Смета ВС_2016'!E25</f>
        <v>6593.4003141701987</v>
      </c>
      <c r="F13" s="1344">
        <f>'[6]Смета ВС_2016'!F25</f>
        <v>15270.548474879999</v>
      </c>
      <c r="G13" s="1344">
        <f>'[6]Смета ВС_2016'!G25</f>
        <v>18865.194651292681</v>
      </c>
      <c r="H13" s="1344">
        <f>'Смета ВС_2016'!H25</f>
        <v>7796.6153129269987</v>
      </c>
      <c r="I13" s="1344">
        <f>'Смета ВС_2016'!I25</f>
        <v>14224.503886774455</v>
      </c>
      <c r="J13" s="1344">
        <f>'Смета ВС_2016'!J25</f>
        <v>24529.93735</v>
      </c>
      <c r="K13" s="2890"/>
      <c r="L13" s="1406" t="s">
        <v>1728</v>
      </c>
    </row>
    <row r="14" spans="1:12">
      <c r="A14" s="2282" t="s">
        <v>1439</v>
      </c>
      <c r="B14" s="1" t="s">
        <v>1729</v>
      </c>
      <c r="C14" s="1" t="s">
        <v>164</v>
      </c>
      <c r="D14" s="1344">
        <f>'[6]Смета ВС_2016'!D26</f>
        <v>5460.9500000000044</v>
      </c>
      <c r="E14" s="1344">
        <f>'[6]Смета ВС_2016'!E26</f>
        <v>23785.77847392848</v>
      </c>
      <c r="F14" s="1344">
        <f>'[6]Смета ВС_2016'!F26</f>
        <v>50533</v>
      </c>
      <c r="G14" s="1344">
        <f>'[6]Смета ВС_2016'!G26</f>
        <v>24853.094644776127</v>
      </c>
      <c r="H14" s="1344">
        <f>'Смета ВС_2016'!H26</f>
        <v>12507.791422336721</v>
      </c>
      <c r="I14" s="1344">
        <f>'Смета ВС_2016'!I26</f>
        <v>24877.432215673445</v>
      </c>
      <c r="J14" s="1344">
        <f>'Смета ВС_2016'!J26</f>
        <v>26101.316212873742</v>
      </c>
      <c r="K14" s="2891">
        <f>'Смета ВС_2016'!M26</f>
        <v>14929.50682114878</v>
      </c>
      <c r="L14" s="1"/>
    </row>
    <row r="15" spans="1:12" ht="27.75" customHeight="1">
      <c r="A15" s="2282" t="s">
        <v>1441</v>
      </c>
      <c r="B15" s="34" t="s">
        <v>1442</v>
      </c>
      <c r="C15" s="1" t="s">
        <v>164</v>
      </c>
      <c r="D15" s="1344"/>
      <c r="E15" s="1344"/>
      <c r="F15" s="1344"/>
      <c r="G15" s="1344"/>
      <c r="H15" s="1344"/>
      <c r="I15" s="1344"/>
      <c r="J15" s="1344"/>
      <c r="K15" s="2891">
        <f>K16+K17+K18+K19</f>
        <v>16349.728599999999</v>
      </c>
      <c r="L15" s="1"/>
    </row>
    <row r="16" spans="1:12" ht="29.25" customHeight="1">
      <c r="A16" s="2282" t="s">
        <v>1443</v>
      </c>
      <c r="B16" s="34" t="s">
        <v>1444</v>
      </c>
      <c r="C16" s="1" t="s">
        <v>164</v>
      </c>
      <c r="D16" s="1344">
        <f>'[6]Смета ВС_2016'!D29</f>
        <v>2300</v>
      </c>
      <c r="E16" s="1344">
        <f>'[6]Смета ВС_2016'!E29</f>
        <v>2400</v>
      </c>
      <c r="F16" s="1344">
        <f>'[6]Смета ВС_2016'!F29</f>
        <v>0</v>
      </c>
      <c r="G16" s="1344">
        <f>'[6]Смета ВС_2016'!G29</f>
        <v>9840.1203143999992</v>
      </c>
      <c r="H16" s="1344">
        <f>'Смета ВС_2016'!H29</f>
        <v>5891.1239999999998</v>
      </c>
      <c r="I16" s="1344">
        <f>'Смета ВС_2016'!I29</f>
        <v>10056.148668</v>
      </c>
      <c r="J16" s="1344">
        <f>'Смета ВС_2016'!J29</f>
        <v>5946.0301600000003</v>
      </c>
      <c r="K16" s="2890"/>
      <c r="L16" s="1" t="s">
        <v>1751</v>
      </c>
    </row>
    <row r="17" spans="1:12" ht="45.75" customHeight="1">
      <c r="A17" s="2282" t="s">
        <v>1445</v>
      </c>
      <c r="B17" s="34" t="s">
        <v>1715</v>
      </c>
      <c r="C17" s="1" t="s">
        <v>164</v>
      </c>
      <c r="D17" s="1"/>
      <c r="E17" s="1"/>
      <c r="F17" s="1"/>
      <c r="G17" s="1"/>
      <c r="H17" s="1"/>
      <c r="I17" s="1"/>
      <c r="J17" s="1"/>
      <c r="K17" s="2890">
        <f>'Смета ВС_2016'!M28</f>
        <v>2677.5</v>
      </c>
      <c r="L17" s="1"/>
    </row>
    <row r="18" spans="1:12" ht="43.5" customHeight="1">
      <c r="A18" s="2282" t="s">
        <v>1447</v>
      </c>
      <c r="B18" s="34" t="s">
        <v>1730</v>
      </c>
      <c r="C18" s="1" t="s">
        <v>164</v>
      </c>
      <c r="D18" s="1344">
        <f>'[6]Смета ВС_2016'!D30</f>
        <v>1000</v>
      </c>
      <c r="E18" s="1344">
        <f>'[6]Смета ВС_2016'!E30</f>
        <v>3297.1114371840054</v>
      </c>
      <c r="F18" s="1344">
        <f>'[6]Смета ВС_2016'!F30</f>
        <v>1583.56</v>
      </c>
      <c r="G18" s="1344">
        <f>'[6]Смета ВС_2016'!G30</f>
        <v>2805</v>
      </c>
      <c r="H18" s="1344">
        <f>'Смета ВС_2016'!H30</f>
        <v>1051.4745887999998</v>
      </c>
      <c r="I18" s="1344">
        <f>'Смета ВС_2016'!I30</f>
        <v>2102.9491775999995</v>
      </c>
      <c r="J18" s="1344">
        <f>'Смета ВС_2016'!J30</f>
        <v>2197.5818905919996</v>
      </c>
      <c r="K18" s="2890">
        <f>'Смета ВС_2016'!M30</f>
        <v>2102.9499999999998</v>
      </c>
      <c r="L18" s="1"/>
    </row>
    <row r="19" spans="1:12" ht="75" customHeight="1">
      <c r="A19" s="2282" t="s">
        <v>1449</v>
      </c>
      <c r="B19" s="34" t="s">
        <v>1281</v>
      </c>
      <c r="C19" s="1" t="s">
        <v>164</v>
      </c>
      <c r="D19" s="1"/>
      <c r="E19" s="1"/>
      <c r="F19" s="1"/>
      <c r="G19" s="1"/>
      <c r="H19" s="1"/>
      <c r="I19" s="1"/>
      <c r="J19" s="1"/>
      <c r="K19" s="2890">
        <f>'Смета ВС_2016'!M31</f>
        <v>11569.278599999998</v>
      </c>
      <c r="L19" s="1"/>
    </row>
    <row r="20" spans="1:12">
      <c r="A20" s="2892" t="s">
        <v>18</v>
      </c>
      <c r="B20" s="2893" t="s">
        <v>51</v>
      </c>
      <c r="C20" s="2889" t="s">
        <v>164</v>
      </c>
      <c r="D20" s="2888">
        <f>'[6]Смета ВС_2016'!D32</f>
        <v>98104.386206896539</v>
      </c>
      <c r="E20" s="2888">
        <f>'[6]Смета ВС_2016'!E32</f>
        <v>56556.105212640003</v>
      </c>
      <c r="F20" s="2888">
        <f>'[6]Смета ВС_2016'!F32</f>
        <v>23682.772358400001</v>
      </c>
      <c r="G20" s="2888">
        <f>'Смета ВС_2016'!I32</f>
        <v>57663.659939600002</v>
      </c>
      <c r="H20" s="2888">
        <f>'Смета ВС_2016'!H32</f>
        <v>23333.767888799997</v>
      </c>
      <c r="I20" s="2888">
        <f>'Смета ВС_2016'!I32</f>
        <v>57663.659939600002</v>
      </c>
      <c r="J20" s="2888">
        <f>'Смета ВС_2016'!J32</f>
        <v>106026.188156</v>
      </c>
      <c r="K20" s="2900">
        <f>'Смета ВС_2016'!M32</f>
        <v>59348.684151000016</v>
      </c>
      <c r="L20" s="2889"/>
    </row>
    <row r="21" spans="1:12" ht="18" customHeight="1">
      <c r="A21" s="2892" t="s">
        <v>30</v>
      </c>
      <c r="B21" s="2895" t="s">
        <v>63</v>
      </c>
      <c r="C21" s="2889" t="s">
        <v>164</v>
      </c>
      <c r="D21" s="2888">
        <f>'[6]Смета ВС_2016'!D38</f>
        <v>28033.65</v>
      </c>
      <c r="E21" s="2888">
        <f>'[6]Смета ВС_2016'!E38</f>
        <v>60451.958204667993</v>
      </c>
      <c r="F21" s="2888">
        <f>'[6]Смета ВС_2016'!F38</f>
        <v>42546.91</v>
      </c>
      <c r="G21" s="2888">
        <f>'Смета ВС_2016'!I38</f>
        <v>54614.066476599997</v>
      </c>
      <c r="H21" s="2888">
        <f>'Смета ВС_2016'!H38</f>
        <v>28618.9624463</v>
      </c>
      <c r="I21" s="2888">
        <f>'Смета ВС_2016'!I38</f>
        <v>54614.066476599997</v>
      </c>
      <c r="J21" s="2888">
        <f>'Смета ВС_2016'!J38</f>
        <v>58645.856583069995</v>
      </c>
      <c r="K21" s="2888">
        <f>'Смета ВС_2016'!M38</f>
        <v>45839.662358372181</v>
      </c>
      <c r="L21" s="2889"/>
    </row>
    <row r="22" spans="1:12" ht="31.5" customHeight="1">
      <c r="A22" s="2282" t="s">
        <v>255</v>
      </c>
      <c r="B22" s="2283" t="s">
        <v>1454</v>
      </c>
      <c r="C22" s="1" t="s">
        <v>164</v>
      </c>
      <c r="D22" s="1344">
        <f>'[6]Смета ВС_2016'!D59</f>
        <v>0</v>
      </c>
      <c r="E22" s="1344">
        <f>'[6]Смета ВС_2016'!E59</f>
        <v>7824.9219999999996</v>
      </c>
      <c r="F22" s="1344">
        <f>'[6]Смета ВС_2016'!F59</f>
        <v>7440.5519999999997</v>
      </c>
      <c r="G22" s="1344">
        <f>'Смета ВС_2016'!I63</f>
        <v>8177.0434899999991</v>
      </c>
      <c r="H22" s="1344">
        <f>'Смета ВС_2016'!H63</f>
        <v>4088.5217449999996</v>
      </c>
      <c r="I22" s="1344">
        <f>'Смета ВС_2016'!I63</f>
        <v>8177.0434899999991</v>
      </c>
      <c r="J22" s="1344">
        <f>'Смета ВС_2016'!J63</f>
        <v>8528.6563600699992</v>
      </c>
      <c r="K22" s="2890"/>
      <c r="L22" s="1" t="s">
        <v>1728</v>
      </c>
    </row>
    <row r="23" spans="1:12" ht="44.25" customHeight="1">
      <c r="A23" s="2282" t="s">
        <v>35</v>
      </c>
      <c r="B23" s="2283" t="s">
        <v>1536</v>
      </c>
      <c r="C23" s="1" t="s">
        <v>164</v>
      </c>
      <c r="D23" s="1"/>
      <c r="E23" s="1"/>
      <c r="F23" s="1"/>
      <c r="G23" s="1"/>
      <c r="H23" s="1"/>
      <c r="I23" s="1"/>
      <c r="J23" s="1"/>
      <c r="K23" s="40"/>
      <c r="L23" s="1"/>
    </row>
    <row r="24" spans="1:12">
      <c r="A24" s="1"/>
      <c r="B24" s="62" t="s">
        <v>1244</v>
      </c>
      <c r="C24" s="1"/>
      <c r="D24" s="408">
        <f>SUM(D8:D23)</f>
        <v>360588.20904060424</v>
      </c>
      <c r="E24" s="408">
        <f>SUM(E8:E23)</f>
        <v>459878.96098335489</v>
      </c>
      <c r="F24" s="408">
        <f>SUM(F8:F23)</f>
        <v>446846.20703100995</v>
      </c>
      <c r="G24" s="408">
        <f>SUM(G8:G23)</f>
        <v>511134.0029442822</v>
      </c>
      <c r="H24" s="408">
        <f>H8+H20+H21+H22</f>
        <v>219756.36269985404</v>
      </c>
      <c r="I24" s="408">
        <f>I8+I20+I21+I22</f>
        <v>480003.60970568174</v>
      </c>
      <c r="J24" s="2529">
        <f>J8+J20+J21+J22</f>
        <v>567286.64966421365</v>
      </c>
      <c r="K24" s="426">
        <f>K8+K20+K21+K22</f>
        <v>462154.92801828298</v>
      </c>
      <c r="L24" s="1"/>
    </row>
    <row r="25" spans="1:12">
      <c r="J25" t="s">
        <v>1640</v>
      </c>
    </row>
    <row r="27" spans="1:12">
      <c r="H27" s="403"/>
      <c r="I27" s="403"/>
      <c r="J27" s="403"/>
      <c r="K27" s="403"/>
    </row>
  </sheetData>
  <mergeCells count="11">
    <mergeCell ref="B3:G3"/>
    <mergeCell ref="D5:E5"/>
    <mergeCell ref="F5:G5"/>
    <mergeCell ref="K5:K6"/>
    <mergeCell ref="A4:A6"/>
    <mergeCell ref="B4:B6"/>
    <mergeCell ref="C4:C6"/>
    <mergeCell ref="D4:J4"/>
    <mergeCell ref="K4:L4"/>
    <mergeCell ref="J5:J6"/>
    <mergeCell ref="L5:L6"/>
  </mergeCells>
  <pageMargins left="0.51181102362204722" right="0.51181102362204722" top="0.35433070866141736" bottom="0.35433070866141736" header="0.31496062992125984" footer="0.31496062992125984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3:X498"/>
  <sheetViews>
    <sheetView topLeftCell="A489" zoomScale="80" zoomScaleNormal="80" zoomScalePageLayoutView="70" workbookViewId="0">
      <selection activeCell="S465" sqref="S465"/>
    </sheetView>
  </sheetViews>
  <sheetFormatPr defaultRowHeight="15"/>
  <cols>
    <col min="1" max="1" width="5.7109375" customWidth="1"/>
    <col min="2" max="2" width="29.42578125" customWidth="1"/>
    <col min="3" max="3" width="13.28515625" customWidth="1"/>
    <col min="4" max="6" width="13" customWidth="1"/>
    <col min="7" max="7" width="13.140625" customWidth="1"/>
    <col min="8" max="8" width="14" customWidth="1"/>
    <col min="9" max="9" width="15" customWidth="1"/>
    <col min="10" max="10" width="13.5703125" customWidth="1"/>
    <col min="11" max="12" width="13.7109375" customWidth="1"/>
    <col min="13" max="16" width="12.85546875" hidden="1" customWidth="1"/>
    <col min="17" max="17" width="13.85546875" customWidth="1"/>
    <col min="18" max="18" width="12" customWidth="1"/>
    <col min="19" max="19" width="12.85546875" customWidth="1"/>
    <col min="20" max="20" width="17.5703125" customWidth="1"/>
    <col min="21" max="21" width="11.28515625" customWidth="1"/>
    <col min="22" max="22" width="16.85546875" customWidth="1"/>
    <col min="23" max="23" width="15.28515625" customWidth="1"/>
  </cols>
  <sheetData>
    <row r="3" spans="1:23">
      <c r="F3" s="3457" t="s">
        <v>168</v>
      </c>
      <c r="G3" s="3457"/>
      <c r="H3" s="3457"/>
      <c r="I3" s="3457"/>
      <c r="J3" s="3457"/>
      <c r="K3" s="3457"/>
      <c r="L3" s="3457"/>
      <c r="M3" s="3457"/>
      <c r="N3" s="3457"/>
      <c r="O3" s="3457"/>
      <c r="P3" s="3457"/>
      <c r="Q3" s="3457"/>
      <c r="R3" s="3457"/>
      <c r="S3" s="3457"/>
    </row>
    <row r="4" spans="1:23">
      <c r="F4" s="3457" t="s">
        <v>169</v>
      </c>
      <c r="G4" s="3457"/>
      <c r="H4" s="3457"/>
      <c r="I4" s="3457"/>
      <c r="J4" s="3457"/>
      <c r="K4" s="3457"/>
      <c r="L4" s="3457"/>
      <c r="M4" s="3457"/>
      <c r="N4" s="3457"/>
      <c r="O4" s="3457"/>
      <c r="P4" s="3457"/>
      <c r="Q4" s="3457"/>
      <c r="R4" s="3457"/>
      <c r="S4" s="3457"/>
    </row>
    <row r="5" spans="1:23">
      <c r="F5" s="58" t="s">
        <v>294</v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</row>
    <row r="6" spans="1:23">
      <c r="A6" s="358"/>
      <c r="B6" s="358" t="s">
        <v>1268</v>
      </c>
      <c r="F6" s="3457" t="s">
        <v>170</v>
      </c>
      <c r="G6" s="3457"/>
      <c r="H6" s="3457"/>
      <c r="I6" s="3457"/>
      <c r="J6" s="3457"/>
      <c r="K6" s="3457"/>
      <c r="L6" s="3457"/>
      <c r="M6" s="3457"/>
      <c r="N6" s="3457"/>
      <c r="O6" s="3457"/>
      <c r="P6" s="3457"/>
      <c r="Q6" s="3457"/>
      <c r="R6" s="3457"/>
      <c r="S6" s="3457"/>
    </row>
    <row r="7" spans="1:23">
      <c r="F7" s="359"/>
      <c r="G7" s="359"/>
      <c r="H7" s="1968"/>
      <c r="I7" s="1968"/>
      <c r="J7" s="1534"/>
      <c r="K7" s="1534"/>
      <c r="L7" s="359"/>
      <c r="M7" s="3082"/>
      <c r="N7" s="3082"/>
      <c r="O7" s="3082"/>
      <c r="P7" s="3082"/>
      <c r="Q7" s="359"/>
      <c r="R7" s="359"/>
      <c r="S7" s="359"/>
    </row>
    <row r="8" spans="1:23">
      <c r="A8" t="s">
        <v>370</v>
      </c>
      <c r="F8" s="359"/>
      <c r="G8" s="359"/>
      <c r="H8" s="1968"/>
      <c r="I8" s="1968"/>
      <c r="J8" s="1534"/>
      <c r="K8" s="1534"/>
      <c r="L8" s="359"/>
      <c r="M8" s="3082"/>
      <c r="N8" s="3082"/>
      <c r="O8" s="3082"/>
      <c r="P8" s="3082"/>
      <c r="Q8" s="359"/>
      <c r="R8" s="359"/>
      <c r="S8" s="359"/>
    </row>
    <row r="9" spans="1:23" ht="18.75">
      <c r="A9" s="360" t="s">
        <v>483</v>
      </c>
      <c r="F9" s="359"/>
      <c r="G9" s="359"/>
      <c r="H9" s="1968"/>
      <c r="I9" s="1968"/>
      <c r="J9" s="1534"/>
      <c r="K9" s="1534"/>
      <c r="L9" s="359"/>
      <c r="M9" s="3082"/>
      <c r="N9" s="3082"/>
      <c r="O9" s="3082"/>
      <c r="P9" s="3082"/>
      <c r="Q9" s="359"/>
      <c r="R9" s="359"/>
      <c r="S9" s="359"/>
    </row>
    <row r="10" spans="1:23" ht="15.75" thickBot="1">
      <c r="A10" s="57" t="s">
        <v>1778</v>
      </c>
      <c r="D10" s="1548"/>
    </row>
    <row r="11" spans="1:23" ht="15.75" customHeight="1" thickBot="1">
      <c r="A11" s="3389" t="s">
        <v>0</v>
      </c>
      <c r="B11" s="3389" t="s">
        <v>1</v>
      </c>
      <c r="C11" s="3389" t="s">
        <v>2</v>
      </c>
      <c r="D11" s="3432" t="s">
        <v>165</v>
      </c>
      <c r="E11" s="3433"/>
      <c r="F11" s="3433"/>
      <c r="G11" s="3433"/>
      <c r="H11" s="3433"/>
      <c r="I11" s="3433"/>
      <c r="J11" s="3433"/>
      <c r="K11" s="3433"/>
      <c r="L11" s="3433"/>
      <c r="M11" s="3081"/>
      <c r="N11" s="3081"/>
      <c r="O11" s="3081"/>
      <c r="P11" s="3081"/>
      <c r="Q11" s="3432" t="s">
        <v>1460</v>
      </c>
      <c r="R11" s="3433"/>
      <c r="S11" s="3434"/>
      <c r="T11" s="2683"/>
      <c r="U11" s="2683"/>
      <c r="V11" s="3449"/>
      <c r="W11" s="3449"/>
    </row>
    <row r="12" spans="1:23" ht="25.5" customHeight="1" thickBot="1">
      <c r="A12" s="3401"/>
      <c r="B12" s="3401"/>
      <c r="C12" s="3401"/>
      <c r="D12" s="3418" t="s">
        <v>1196</v>
      </c>
      <c r="E12" s="3419"/>
      <c r="F12" s="3418">
        <v>2015</v>
      </c>
      <c r="G12" s="3419"/>
      <c r="H12" s="3389" t="s">
        <v>1375</v>
      </c>
      <c r="I12" s="3389" t="s">
        <v>1376</v>
      </c>
      <c r="J12" s="3389" t="s">
        <v>394</v>
      </c>
      <c r="K12" s="3389" t="s">
        <v>395</v>
      </c>
      <c r="L12" s="3387" t="s">
        <v>1155</v>
      </c>
      <c r="M12" s="3075"/>
      <c r="N12" s="3075"/>
      <c r="O12" s="3075"/>
      <c r="P12" s="3075"/>
      <c r="Q12" s="3389" t="s">
        <v>1675</v>
      </c>
      <c r="R12" s="3389" t="s">
        <v>1676</v>
      </c>
      <c r="S12" s="3495" t="s">
        <v>1677</v>
      </c>
      <c r="T12" s="3631"/>
      <c r="U12" s="3631"/>
      <c r="V12" s="3631"/>
      <c r="W12" s="3631"/>
    </row>
    <row r="13" spans="1:23" ht="30.75" customHeight="1" thickBot="1">
      <c r="A13" s="3390"/>
      <c r="B13" s="3390"/>
      <c r="C13" s="3390"/>
      <c r="D13" s="990" t="s">
        <v>5</v>
      </c>
      <c r="E13" s="4" t="s">
        <v>6</v>
      </c>
      <c r="F13" s="4" t="s">
        <v>7</v>
      </c>
      <c r="G13" s="4" t="s">
        <v>8</v>
      </c>
      <c r="H13" s="3390"/>
      <c r="I13" s="3390"/>
      <c r="J13" s="3390"/>
      <c r="K13" s="3390"/>
      <c r="L13" s="3388"/>
      <c r="M13" s="3076"/>
      <c r="N13" s="3076"/>
      <c r="O13" s="3076"/>
      <c r="P13" s="3076"/>
      <c r="Q13" s="3390"/>
      <c r="R13" s="3390"/>
      <c r="S13" s="3496"/>
      <c r="T13" s="3631"/>
      <c r="U13" s="3631"/>
      <c r="V13" s="3631"/>
      <c r="W13" s="3631"/>
    </row>
    <row r="14" spans="1:23">
      <c r="A14" s="32">
        <v>1</v>
      </c>
      <c r="B14" s="991">
        <v>2</v>
      </c>
      <c r="C14" s="991">
        <v>3</v>
      </c>
      <c r="D14" s="991">
        <v>4</v>
      </c>
      <c r="E14" s="991">
        <v>5</v>
      </c>
      <c r="F14" s="991">
        <v>6</v>
      </c>
      <c r="G14" s="991">
        <v>7</v>
      </c>
      <c r="H14" s="51" t="s">
        <v>1377</v>
      </c>
      <c r="I14" s="51" t="s">
        <v>1378</v>
      </c>
      <c r="J14" s="51"/>
      <c r="K14" s="51"/>
      <c r="L14" s="51">
        <v>8</v>
      </c>
      <c r="M14" s="3143"/>
      <c r="N14" s="3143"/>
      <c r="O14" s="3143"/>
      <c r="P14" s="3143"/>
      <c r="Q14" s="1147">
        <v>9</v>
      </c>
      <c r="R14" s="506">
        <v>10</v>
      </c>
      <c r="S14" s="2696">
        <v>11</v>
      </c>
      <c r="T14" s="116"/>
      <c r="U14" s="116"/>
      <c r="V14" s="2684"/>
      <c r="W14" s="116"/>
    </row>
    <row r="15" spans="1:23" ht="15.75" customHeight="1">
      <c r="A15" s="996" t="s">
        <v>147</v>
      </c>
      <c r="B15" s="39" t="s">
        <v>13</v>
      </c>
      <c r="C15" s="39"/>
      <c r="D15" s="39"/>
      <c r="E15" s="40"/>
      <c r="F15" s="40"/>
      <c r="G15" s="40"/>
      <c r="H15" s="52"/>
      <c r="I15" s="52"/>
      <c r="J15" s="52" t="s">
        <v>1332</v>
      </c>
      <c r="K15" s="52" t="s">
        <v>1333</v>
      </c>
      <c r="L15" s="52" t="s">
        <v>1333</v>
      </c>
      <c r="M15" s="3144"/>
      <c r="N15" s="3144"/>
      <c r="O15" s="3144"/>
      <c r="P15" s="3144"/>
      <c r="Q15" s="1603"/>
      <c r="R15" s="997"/>
      <c r="S15" s="2697"/>
      <c r="T15" s="116"/>
      <c r="U15" s="116"/>
      <c r="V15" s="2684"/>
      <c r="W15" s="116"/>
    </row>
    <row r="16" spans="1:23" ht="15.75" customHeight="1">
      <c r="A16" s="999" t="s">
        <v>10</v>
      </c>
      <c r="B16" s="229" t="s">
        <v>586</v>
      </c>
      <c r="C16" s="62"/>
      <c r="D16" s="62"/>
      <c r="E16" s="62"/>
      <c r="F16" s="62"/>
      <c r="G16" s="62"/>
      <c r="H16" s="216"/>
      <c r="I16" s="216"/>
      <c r="J16" s="216"/>
      <c r="K16" s="216"/>
      <c r="L16" s="216"/>
      <c r="M16" s="3145"/>
      <c r="N16" s="3145"/>
      <c r="O16" s="3145"/>
      <c r="P16" s="3145"/>
      <c r="Q16" s="2698"/>
      <c r="R16" s="1095"/>
      <c r="S16" s="2699"/>
      <c r="T16" s="117"/>
      <c r="U16" s="117"/>
      <c r="V16" s="2684"/>
      <c r="W16" s="116"/>
    </row>
    <row r="17" spans="1:23">
      <c r="A17" s="538" t="s">
        <v>12</v>
      </c>
      <c r="B17" s="1" t="s">
        <v>149</v>
      </c>
      <c r="C17" s="1" t="s">
        <v>152</v>
      </c>
      <c r="D17" s="1">
        <v>18.12</v>
      </c>
      <c r="E17" s="1">
        <v>11.989000000000001</v>
      </c>
      <c r="F17" s="1">
        <v>15.247999999999999</v>
      </c>
      <c r="G17" s="1">
        <v>11.167999999999999</v>
      </c>
      <c r="H17" s="50">
        <v>6.3739999999999997</v>
      </c>
      <c r="I17" s="50">
        <v>13.846</v>
      </c>
      <c r="J17" s="50">
        <v>14.724</v>
      </c>
      <c r="K17" s="50">
        <v>14.724</v>
      </c>
      <c r="L17" s="50">
        <v>14.813000000000001</v>
      </c>
      <c r="M17" s="1481"/>
      <c r="N17" s="1481"/>
      <c r="O17" s="1481"/>
      <c r="P17" s="1481"/>
      <c r="Q17" s="2537">
        <f>J17</f>
        <v>14.724</v>
      </c>
      <c r="R17" s="998"/>
      <c r="S17" s="2700"/>
      <c r="T17" s="116"/>
      <c r="U17" s="116"/>
      <c r="V17" s="2685"/>
      <c r="W17" s="116"/>
    </row>
    <row r="18" spans="1:23">
      <c r="A18" s="538" t="s">
        <v>150</v>
      </c>
      <c r="B18" s="1" t="s">
        <v>151</v>
      </c>
      <c r="C18" s="1" t="s">
        <v>11</v>
      </c>
      <c r="D18" s="1">
        <v>16.55</v>
      </c>
      <c r="E18" s="1">
        <v>16.8</v>
      </c>
      <c r="F18" s="1">
        <v>17.6568</v>
      </c>
      <c r="G18" s="1">
        <v>16.8</v>
      </c>
      <c r="H18" s="50">
        <v>16.8</v>
      </c>
      <c r="I18" s="50">
        <v>16.8</v>
      </c>
      <c r="J18" s="50">
        <v>17.556000000000001</v>
      </c>
      <c r="K18" s="50">
        <v>18.310908000000001</v>
      </c>
      <c r="L18" s="415">
        <v>19.098277</v>
      </c>
      <c r="M18" s="1485"/>
      <c r="N18" s="1485"/>
      <c r="O18" s="1485"/>
      <c r="P18" s="1485"/>
      <c r="Q18" s="1605">
        <f>I18*1.026</f>
        <v>17.236800000000002</v>
      </c>
      <c r="R18" s="1030"/>
      <c r="S18" s="2701"/>
      <c r="T18" s="1290"/>
      <c r="U18" s="1290"/>
      <c r="V18" s="2684"/>
      <c r="W18" s="116"/>
    </row>
    <row r="19" spans="1:23" ht="15.75" thickBot="1">
      <c r="A19" s="999" t="s">
        <v>154</v>
      </c>
      <c r="B19" s="108" t="s">
        <v>153</v>
      </c>
      <c r="C19" s="62" t="s">
        <v>11</v>
      </c>
      <c r="D19" s="408">
        <v>299.88600000000002</v>
      </c>
      <c r="E19" s="408">
        <f>E17*E18</f>
        <v>201.41520000000003</v>
      </c>
      <c r="F19" s="408">
        <v>269.23088639999997</v>
      </c>
      <c r="G19" s="408">
        <f>G17*G18</f>
        <v>187.6224</v>
      </c>
      <c r="H19" s="2386">
        <f t="shared" ref="H19:Q19" si="0">H17*H18</f>
        <v>107.08320000000001</v>
      </c>
      <c r="I19" s="2386">
        <f t="shared" si="0"/>
        <v>232.61280000000002</v>
      </c>
      <c r="J19" s="2386">
        <f t="shared" si="0"/>
        <v>258.49454400000002</v>
      </c>
      <c r="K19" s="2386">
        <f t="shared" si="0"/>
        <v>269.60980939200005</v>
      </c>
      <c r="L19" s="2692">
        <f t="shared" si="0"/>
        <v>282.90277720099999</v>
      </c>
      <c r="M19" s="2692"/>
      <c r="N19" s="2692"/>
      <c r="O19" s="2692"/>
      <c r="P19" s="2692"/>
      <c r="Q19" s="2692">
        <f t="shared" si="0"/>
        <v>253.79464320000002</v>
      </c>
      <c r="R19" s="1027"/>
      <c r="S19" s="2702"/>
      <c r="T19" s="2422"/>
      <c r="U19" s="2422"/>
      <c r="V19" s="2686"/>
      <c r="W19" s="116"/>
    </row>
    <row r="20" spans="1:23" ht="15.75" hidden="1" thickBot="1">
      <c r="A20" s="999" t="s">
        <v>18</v>
      </c>
      <c r="B20" s="108" t="s">
        <v>588</v>
      </c>
      <c r="C20" s="62"/>
      <c r="D20" s="62"/>
      <c r="E20" s="62"/>
      <c r="F20" s="62"/>
      <c r="G20" s="62"/>
      <c r="H20" s="216"/>
      <c r="I20" s="216"/>
      <c r="J20" s="216"/>
      <c r="K20" s="216"/>
      <c r="L20" s="216"/>
      <c r="M20" s="3145"/>
      <c r="N20" s="3145"/>
      <c r="O20" s="3145"/>
      <c r="P20" s="3145"/>
      <c r="Q20" s="2698"/>
      <c r="R20" s="1095"/>
      <c r="S20" s="2699"/>
      <c r="T20" s="117"/>
      <c r="U20" s="117"/>
      <c r="V20" s="2684"/>
      <c r="W20" s="116"/>
    </row>
    <row r="21" spans="1:23" ht="15.75" hidden="1" thickBot="1">
      <c r="A21" s="538" t="s">
        <v>20</v>
      </c>
      <c r="B21" s="1" t="s">
        <v>149</v>
      </c>
      <c r="C21" s="1" t="s">
        <v>152</v>
      </c>
      <c r="D21" s="1"/>
      <c r="E21" s="1"/>
      <c r="F21" s="1"/>
      <c r="G21" s="1"/>
      <c r="H21" s="50"/>
      <c r="I21" s="50"/>
      <c r="J21" s="50"/>
      <c r="K21" s="50"/>
      <c r="L21" s="50"/>
      <c r="M21" s="1481"/>
      <c r="N21" s="1481"/>
      <c r="O21" s="1481"/>
      <c r="P21" s="1481"/>
      <c r="Q21" s="2537"/>
      <c r="R21" s="998"/>
      <c r="S21" s="2700"/>
      <c r="T21" s="116"/>
      <c r="U21" s="116"/>
      <c r="V21" s="2684"/>
      <c r="W21" s="116"/>
    </row>
    <row r="22" spans="1:23" ht="15.75" hidden="1" thickBot="1">
      <c r="A22" s="538" t="s">
        <v>155</v>
      </c>
      <c r="B22" s="1" t="s">
        <v>151</v>
      </c>
      <c r="C22" s="1" t="s">
        <v>11</v>
      </c>
      <c r="D22" s="1"/>
      <c r="E22" s="1"/>
      <c r="F22" s="1"/>
      <c r="G22" s="1"/>
      <c r="H22" s="1"/>
      <c r="I22" s="1"/>
      <c r="J22" s="1"/>
      <c r="K22" s="1"/>
      <c r="L22" s="50"/>
      <c r="M22" s="1481"/>
      <c r="N22" s="1481"/>
      <c r="O22" s="1481"/>
      <c r="P22" s="1481"/>
      <c r="Q22" s="1036"/>
      <c r="R22" s="998"/>
      <c r="S22" s="2700"/>
      <c r="T22" s="116"/>
      <c r="U22" s="116"/>
      <c r="V22" s="2684"/>
      <c r="W22" s="116"/>
    </row>
    <row r="23" spans="1:23" ht="15.75" hidden="1" thickBot="1">
      <c r="A23" s="1096" t="s">
        <v>156</v>
      </c>
      <c r="B23" s="414" t="s">
        <v>153</v>
      </c>
      <c r="C23" s="409" t="s">
        <v>11</v>
      </c>
      <c r="D23" s="409">
        <v>0</v>
      </c>
      <c r="E23" s="409"/>
      <c r="F23" s="409">
        <v>0</v>
      </c>
      <c r="G23" s="409"/>
      <c r="H23" s="409"/>
      <c r="I23" s="409"/>
      <c r="J23" s="409"/>
      <c r="K23" s="409"/>
      <c r="L23" s="1294"/>
      <c r="M23" s="3146"/>
      <c r="N23" s="3146"/>
      <c r="O23" s="3146"/>
      <c r="P23" s="3146"/>
      <c r="Q23" s="1096"/>
      <c r="R23" s="409"/>
      <c r="S23" s="2703"/>
      <c r="T23" s="2422"/>
      <c r="U23" s="2422"/>
      <c r="V23" s="2684"/>
      <c r="W23" s="116"/>
    </row>
    <row r="24" spans="1:23" ht="15.75" hidden="1" thickBot="1">
      <c r="A24" s="999" t="s">
        <v>30</v>
      </c>
      <c r="B24" s="108" t="s">
        <v>589</v>
      </c>
      <c r="C24" s="62"/>
      <c r="D24" s="62"/>
      <c r="E24" s="62"/>
      <c r="F24" s="62"/>
      <c r="G24" s="62"/>
      <c r="H24" s="62"/>
      <c r="I24" s="62"/>
      <c r="J24" s="62"/>
      <c r="K24" s="62"/>
      <c r="L24" s="216"/>
      <c r="M24" s="3145"/>
      <c r="N24" s="3145"/>
      <c r="O24" s="3145"/>
      <c r="P24" s="3145"/>
      <c r="Q24" s="2704"/>
      <c r="R24" s="1095"/>
      <c r="S24" s="2699"/>
      <c r="T24" s="117"/>
      <c r="U24" s="117"/>
      <c r="V24" s="2684"/>
      <c r="W24" s="116"/>
    </row>
    <row r="25" spans="1:23" ht="15.75" hidden="1" thickBot="1">
      <c r="A25" s="538" t="s">
        <v>396</v>
      </c>
      <c r="B25" s="1" t="s">
        <v>149</v>
      </c>
      <c r="C25" s="1" t="s">
        <v>152</v>
      </c>
      <c r="D25" s="1"/>
      <c r="E25" s="1"/>
      <c r="F25" s="1"/>
      <c r="G25" s="1"/>
      <c r="H25" s="1"/>
      <c r="I25" s="1"/>
      <c r="J25" s="1"/>
      <c r="K25" s="1"/>
      <c r="L25" s="50"/>
      <c r="M25" s="1481"/>
      <c r="N25" s="1481"/>
      <c r="O25" s="1481"/>
      <c r="P25" s="1481"/>
      <c r="Q25" s="1036"/>
      <c r="R25" s="998"/>
      <c r="S25" s="2700"/>
      <c r="T25" s="116"/>
      <c r="U25" s="116"/>
      <c r="V25" s="2684"/>
      <c r="W25" s="116"/>
    </row>
    <row r="26" spans="1:23" ht="15.75" hidden="1" thickBot="1">
      <c r="A26" s="538" t="s">
        <v>545</v>
      </c>
      <c r="B26" s="1" t="s">
        <v>151</v>
      </c>
      <c r="C26" s="1" t="s">
        <v>11</v>
      </c>
      <c r="D26" s="1"/>
      <c r="E26" s="1"/>
      <c r="F26" s="1"/>
      <c r="G26" s="1"/>
      <c r="H26" s="1"/>
      <c r="I26" s="1"/>
      <c r="J26" s="1"/>
      <c r="K26" s="1"/>
      <c r="L26" s="50"/>
      <c r="M26" s="1481"/>
      <c r="N26" s="1481"/>
      <c r="O26" s="1481"/>
      <c r="P26" s="1481"/>
      <c r="Q26" s="1036"/>
      <c r="R26" s="998"/>
      <c r="S26" s="2700"/>
      <c r="T26" s="116"/>
      <c r="U26" s="116"/>
      <c r="V26" s="2684"/>
      <c r="W26" s="116"/>
    </row>
    <row r="27" spans="1:23" ht="15.75" hidden="1" thickBot="1">
      <c r="A27" s="1097" t="s">
        <v>546</v>
      </c>
      <c r="B27" s="121" t="s">
        <v>153</v>
      </c>
      <c r="C27" s="232" t="s">
        <v>11</v>
      </c>
      <c r="D27" s="409">
        <v>0</v>
      </c>
      <c r="E27" s="409"/>
      <c r="F27" s="409">
        <v>0</v>
      </c>
      <c r="G27" s="409">
        <f t="shared" ref="G27" si="1">G26*G25</f>
        <v>0</v>
      </c>
      <c r="H27" s="409"/>
      <c r="I27" s="409"/>
      <c r="J27" s="409"/>
      <c r="K27" s="409"/>
      <c r="L27" s="1294"/>
      <c r="M27" s="3146"/>
      <c r="N27" s="3146"/>
      <c r="O27" s="3146"/>
      <c r="P27" s="3146"/>
      <c r="Q27" s="1096"/>
      <c r="R27" s="409"/>
      <c r="S27" s="2703"/>
      <c r="T27" s="2422"/>
      <c r="U27" s="2422"/>
      <c r="V27" s="2684"/>
      <c r="W27" s="116"/>
    </row>
    <row r="28" spans="1:23" ht="15.75" hidden="1" thickBot="1">
      <c r="A28" s="999" t="s">
        <v>255</v>
      </c>
      <c r="B28" s="108" t="s">
        <v>587</v>
      </c>
      <c r="C28" s="62"/>
      <c r="D28" s="62"/>
      <c r="E28" s="62"/>
      <c r="F28" s="62"/>
      <c r="G28" s="62"/>
      <c r="H28" s="62"/>
      <c r="I28" s="62"/>
      <c r="J28" s="62"/>
      <c r="K28" s="62"/>
      <c r="L28" s="216"/>
      <c r="M28" s="3145"/>
      <c r="N28" s="3145"/>
      <c r="O28" s="3145"/>
      <c r="P28" s="3145"/>
      <c r="Q28" s="2704"/>
      <c r="R28" s="1095"/>
      <c r="S28" s="2699"/>
      <c r="T28" s="117"/>
      <c r="U28" s="117"/>
      <c r="V28" s="2684"/>
      <c r="W28" s="116"/>
    </row>
    <row r="29" spans="1:23" ht="15.75" hidden="1" thickBot="1">
      <c r="A29" s="538" t="s">
        <v>35</v>
      </c>
      <c r="B29" s="1" t="s">
        <v>149</v>
      </c>
      <c r="C29" s="1" t="s">
        <v>152</v>
      </c>
      <c r="D29" s="1"/>
      <c r="E29" s="1"/>
      <c r="F29" s="1"/>
      <c r="G29" s="1"/>
      <c r="H29" s="1"/>
      <c r="I29" s="1"/>
      <c r="J29" s="1"/>
      <c r="K29" s="1"/>
      <c r="L29" s="50"/>
      <c r="M29" s="1481"/>
      <c r="N29" s="1481"/>
      <c r="O29" s="1481"/>
      <c r="P29" s="1481"/>
      <c r="Q29" s="1036"/>
      <c r="R29" s="998"/>
      <c r="S29" s="2700"/>
      <c r="T29" s="116"/>
      <c r="U29" s="116"/>
      <c r="V29" s="2684"/>
      <c r="W29" s="116"/>
    </row>
    <row r="30" spans="1:23" ht="15.75" hidden="1" thickBot="1">
      <c r="A30" s="538" t="s">
        <v>547</v>
      </c>
      <c r="B30" s="1" t="s">
        <v>151</v>
      </c>
      <c r="C30" s="1" t="s">
        <v>11</v>
      </c>
      <c r="D30" s="1"/>
      <c r="E30" s="1"/>
      <c r="F30" s="1"/>
      <c r="G30" s="1"/>
      <c r="H30" s="1"/>
      <c r="I30" s="1"/>
      <c r="J30" s="1"/>
      <c r="K30" s="1"/>
      <c r="L30" s="50"/>
      <c r="M30" s="1481"/>
      <c r="N30" s="1481"/>
      <c r="O30" s="1481"/>
      <c r="P30" s="1481"/>
      <c r="Q30" s="1036"/>
      <c r="R30" s="998"/>
      <c r="S30" s="2700"/>
      <c r="T30" s="116"/>
      <c r="U30" s="116"/>
      <c r="V30" s="2684"/>
      <c r="W30" s="116"/>
    </row>
    <row r="31" spans="1:23" ht="15.75" hidden="1" thickBot="1">
      <c r="A31" s="1031" t="s">
        <v>548</v>
      </c>
      <c r="B31" s="36" t="s">
        <v>153</v>
      </c>
      <c r="C31" s="27" t="s">
        <v>11</v>
      </c>
      <c r="D31" s="27"/>
      <c r="E31" s="27">
        <f t="shared" ref="E31" si="2">E30*E29</f>
        <v>0</v>
      </c>
      <c r="F31" s="27"/>
      <c r="G31" s="27"/>
      <c r="H31" s="517"/>
      <c r="I31" s="517"/>
      <c r="J31" s="517"/>
      <c r="K31" s="517"/>
      <c r="L31" s="223"/>
      <c r="M31" s="3147"/>
      <c r="N31" s="3147"/>
      <c r="O31" s="3147"/>
      <c r="P31" s="3147"/>
      <c r="Q31" s="2705"/>
      <c r="R31" s="1098"/>
      <c r="S31" s="2706">
        <f t="shared" ref="S31" si="3">S30*S29</f>
        <v>0</v>
      </c>
      <c r="T31" s="116"/>
      <c r="U31" s="116"/>
      <c r="V31" s="2684"/>
      <c r="W31" s="116"/>
    </row>
    <row r="32" spans="1:23" ht="15.75" thickBot="1">
      <c r="A32" s="412"/>
      <c r="B32" s="413" t="s">
        <v>157</v>
      </c>
      <c r="C32" s="413" t="s">
        <v>11</v>
      </c>
      <c r="D32" s="413">
        <f>D23+D19+0.5</f>
        <v>300.38600000000002</v>
      </c>
      <c r="E32" s="413">
        <f t="shared" ref="E32:L32" si="4">E23+E19</f>
        <v>201.41520000000003</v>
      </c>
      <c r="F32" s="413">
        <f t="shared" si="4"/>
        <v>269.23088639999997</v>
      </c>
      <c r="G32" s="413">
        <f t="shared" si="4"/>
        <v>187.6224</v>
      </c>
      <c r="H32" s="413">
        <f t="shared" si="4"/>
        <v>107.08320000000001</v>
      </c>
      <c r="I32" s="413">
        <f t="shared" si="4"/>
        <v>232.61280000000002</v>
      </c>
      <c r="J32" s="413">
        <f t="shared" si="4"/>
        <v>258.49454400000002</v>
      </c>
      <c r="K32" s="413">
        <f t="shared" si="4"/>
        <v>269.60980939200005</v>
      </c>
      <c r="L32" s="2693">
        <f t="shared" si="4"/>
        <v>282.90277720099999</v>
      </c>
      <c r="M32" s="3148"/>
      <c r="N32" s="3148"/>
      <c r="O32" s="3148"/>
      <c r="P32" s="3148"/>
      <c r="Q32" s="412">
        <f t="shared" ref="Q32:S32" si="5">Q23+Q19</f>
        <v>253.79464320000002</v>
      </c>
      <c r="R32" s="1099">
        <f t="shared" si="5"/>
        <v>0</v>
      </c>
      <c r="S32" s="2707">
        <f t="shared" si="5"/>
        <v>0</v>
      </c>
      <c r="T32" s="2422"/>
      <c r="U32" s="2422"/>
      <c r="V32" s="2686"/>
      <c r="W32" s="116"/>
    </row>
    <row r="33" spans="1:23" ht="60">
      <c r="A33" s="1000" t="s">
        <v>148</v>
      </c>
      <c r="B33" s="42" t="s">
        <v>158</v>
      </c>
      <c r="C33" s="41"/>
      <c r="D33" s="41"/>
      <c r="E33" s="41"/>
      <c r="F33" s="41"/>
      <c r="G33" s="1770" t="s">
        <v>1276</v>
      </c>
      <c r="H33" s="2000"/>
      <c r="I33" s="2000"/>
      <c r="J33" s="53"/>
      <c r="K33" s="53"/>
      <c r="L33" s="53"/>
      <c r="M33" s="3149"/>
      <c r="N33" s="3149"/>
      <c r="O33" s="3149"/>
      <c r="P33" s="3149"/>
      <c r="Q33" s="2708"/>
      <c r="R33" s="1100"/>
      <c r="S33" s="2697"/>
      <c r="T33" s="116"/>
      <c r="U33" s="116"/>
      <c r="V33" s="2684"/>
      <c r="W33" s="116"/>
    </row>
    <row r="34" spans="1:23">
      <c r="A34" s="1002" t="s">
        <v>159</v>
      </c>
      <c r="B34" s="165" t="s">
        <v>578</v>
      </c>
      <c r="C34" s="62"/>
      <c r="D34" s="50"/>
      <c r="E34" s="1"/>
      <c r="F34" s="1"/>
      <c r="G34" s="1"/>
      <c r="H34" s="50"/>
      <c r="I34" s="50"/>
      <c r="J34" s="50"/>
      <c r="K34" s="50"/>
      <c r="L34" s="50"/>
      <c r="M34" s="1481"/>
      <c r="N34" s="1481"/>
      <c r="O34" s="1481"/>
      <c r="P34" s="1481"/>
      <c r="Q34" s="2537"/>
      <c r="R34" s="998"/>
      <c r="S34" s="2700"/>
      <c r="T34" s="116"/>
      <c r="U34" s="116"/>
      <c r="V34" s="2684"/>
      <c r="W34" s="116"/>
    </row>
    <row r="35" spans="1:23">
      <c r="A35" s="538"/>
      <c r="B35" s="1" t="s">
        <v>149</v>
      </c>
      <c r="C35" s="1" t="s">
        <v>579</v>
      </c>
      <c r="D35" s="1126">
        <v>83800</v>
      </c>
      <c r="E35" s="394">
        <f>268151.491*0.9*0.4</f>
        <v>96534.536760000003</v>
      </c>
      <c r="F35" s="1126">
        <v>87864.833365500002</v>
      </c>
      <c r="G35" s="1126">
        <f>E35</f>
        <v>96534.536760000003</v>
      </c>
      <c r="H35" s="1126">
        <f>159448.7*0.96*0.41</f>
        <v>62759.008320000001</v>
      </c>
      <c r="I35" s="1126">
        <f>H35*2</f>
        <v>125518.01664</v>
      </c>
      <c r="J35" s="1126">
        <f>G35</f>
        <v>96534.536760000003</v>
      </c>
      <c r="K35" s="1126">
        <f>J35</f>
        <v>96534.536760000003</v>
      </c>
      <c r="L35" s="1546">
        <f>K35</f>
        <v>96534.536760000003</v>
      </c>
      <c r="M35" s="582"/>
      <c r="N35" s="582"/>
      <c r="O35" s="582"/>
      <c r="P35" s="582"/>
      <c r="Q35" s="2709">
        <f>J35</f>
        <v>96534.536760000003</v>
      </c>
      <c r="R35" s="1127"/>
      <c r="S35" s="2710"/>
      <c r="T35" s="2687"/>
      <c r="U35" s="2687"/>
      <c r="V35" s="2684"/>
      <c r="W35" s="116"/>
    </row>
    <row r="36" spans="1:23">
      <c r="A36" s="538"/>
      <c r="B36" s="1" t="s">
        <v>160</v>
      </c>
      <c r="C36" s="1" t="s">
        <v>291</v>
      </c>
      <c r="D36" s="1128">
        <v>28.82</v>
      </c>
      <c r="E36" s="394">
        <f>7472643.5/268151.49</f>
        <v>27.867245861658276</v>
      </c>
      <c r="F36" s="1129">
        <v>28.949200000000001</v>
      </c>
      <c r="G36" s="1126">
        <v>28.95</v>
      </c>
      <c r="H36" s="1546">
        <v>28.92</v>
      </c>
      <c r="I36" s="1126">
        <f>H36*1.01</f>
        <v>29.209200000000003</v>
      </c>
      <c r="J36" s="1546">
        <f>G36*1.045</f>
        <v>30.252749999999999</v>
      </c>
      <c r="K36" s="1546">
        <f>J36*1.043</f>
        <v>31.553618249999996</v>
      </c>
      <c r="L36" s="1128">
        <f>K36*1.043</f>
        <v>32.910423834749992</v>
      </c>
      <c r="M36" s="3150"/>
      <c r="N36" s="3150"/>
      <c r="O36" s="3150"/>
      <c r="P36" s="3150"/>
      <c r="Q36" s="2711">
        <f>J36</f>
        <v>30.252749999999999</v>
      </c>
      <c r="R36" s="1130"/>
      <c r="S36" s="2700"/>
      <c r="T36" s="116"/>
      <c r="U36" s="116"/>
      <c r="V36" s="2684"/>
      <c r="W36" s="116"/>
    </row>
    <row r="37" spans="1:23">
      <c r="A37" s="999"/>
      <c r="B37" s="406" t="s">
        <v>153</v>
      </c>
      <c r="C37" s="407" t="s">
        <v>11</v>
      </c>
      <c r="D37" s="1131">
        <v>2415.116</v>
      </c>
      <c r="E37" s="395">
        <f>E35*E36/1000</f>
        <v>2690.1516700322086</v>
      </c>
      <c r="F37" s="395">
        <f>F35*F36/1000</f>
        <v>2543.6166340645327</v>
      </c>
      <c r="G37" s="395">
        <f t="shared" ref="G37:L37" si="6">G35*G36/1000</f>
        <v>2794.6748392019999</v>
      </c>
      <c r="H37" s="395">
        <f t="shared" si="6"/>
        <v>1814.9905206144001</v>
      </c>
      <c r="I37" s="395">
        <f t="shared" si="6"/>
        <v>3666.2808516410882</v>
      </c>
      <c r="J37" s="395">
        <f t="shared" si="6"/>
        <v>2920.4352069660899</v>
      </c>
      <c r="K37" s="395">
        <f t="shared" si="6"/>
        <v>3046.0139208656315</v>
      </c>
      <c r="L37" s="2559">
        <f t="shared" si="6"/>
        <v>3176.9925194628531</v>
      </c>
      <c r="M37" s="3151"/>
      <c r="N37" s="3151"/>
      <c r="O37" s="3151"/>
      <c r="P37" s="3151"/>
      <c r="Q37" s="2712">
        <f t="shared" ref="Q37" si="7">Q36*Q35/1000</f>
        <v>2920.4352069660899</v>
      </c>
      <c r="R37" s="1132"/>
      <c r="S37" s="2713"/>
      <c r="T37" s="2688"/>
      <c r="U37" s="2688"/>
      <c r="V37" s="2686"/>
      <c r="W37" s="116"/>
    </row>
    <row r="38" spans="1:23">
      <c r="A38" s="538"/>
      <c r="B38" s="165" t="s">
        <v>580</v>
      </c>
      <c r="C38" s="62"/>
      <c r="D38" s="1133"/>
      <c r="E38" s="395"/>
      <c r="F38" s="1135"/>
      <c r="G38" s="1134"/>
      <c r="H38" s="1547"/>
      <c r="I38" s="1547"/>
      <c r="J38" s="1547"/>
      <c r="K38" s="1547"/>
      <c r="L38" s="1133"/>
      <c r="M38" s="3152"/>
      <c r="N38" s="3152"/>
      <c r="O38" s="3152"/>
      <c r="P38" s="3152"/>
      <c r="Q38" s="2714"/>
      <c r="R38" s="1136"/>
      <c r="S38" s="2700"/>
      <c r="T38" s="116"/>
      <c r="U38" s="116"/>
      <c r="V38" s="2684"/>
      <c r="W38" s="116"/>
    </row>
    <row r="39" spans="1:23">
      <c r="A39" s="538"/>
      <c r="B39" s="1" t="s">
        <v>149</v>
      </c>
      <c r="C39" s="1" t="s">
        <v>579</v>
      </c>
      <c r="D39" s="1126">
        <v>87100</v>
      </c>
      <c r="E39" s="394">
        <f>229175.67*0.9*0.4</f>
        <v>82503.241200000004</v>
      </c>
      <c r="F39" s="1126">
        <v>86350</v>
      </c>
      <c r="G39" s="1126">
        <f>E39</f>
        <v>82503.241200000004</v>
      </c>
      <c r="H39" s="1126">
        <f>103513.09*0.96*0.41</f>
        <v>40742.752223999996</v>
      </c>
      <c r="I39" s="1126">
        <f>H39*2</f>
        <v>81485.504447999992</v>
      </c>
      <c r="J39" s="1126">
        <f>G39</f>
        <v>82503.241200000004</v>
      </c>
      <c r="K39" s="1126">
        <f>J39</f>
        <v>82503.241200000004</v>
      </c>
      <c r="L39" s="1546">
        <f>K39</f>
        <v>82503.241200000004</v>
      </c>
      <c r="M39" s="582"/>
      <c r="N39" s="582"/>
      <c r="O39" s="582"/>
      <c r="P39" s="582"/>
      <c r="Q39" s="2709">
        <f>J39</f>
        <v>82503.241200000004</v>
      </c>
      <c r="R39" s="1127"/>
      <c r="S39" s="2710"/>
      <c r="T39" s="2687"/>
      <c r="U39" s="2687"/>
      <c r="V39" s="2684"/>
      <c r="W39" s="116"/>
    </row>
    <row r="40" spans="1:23">
      <c r="A40" s="538"/>
      <c r="B40" s="1" t="s">
        <v>160</v>
      </c>
      <c r="C40" s="1" t="s">
        <v>291</v>
      </c>
      <c r="D40" s="1133">
        <v>26.755190000000002</v>
      </c>
      <c r="E40" s="394">
        <f>6060461.55/229175.672</f>
        <v>26.444611232557005</v>
      </c>
      <c r="F40" s="1129">
        <v>27.007999999999999</v>
      </c>
      <c r="G40" s="1126">
        <v>28.22</v>
      </c>
      <c r="H40" s="1546">
        <v>28.311</v>
      </c>
      <c r="I40" s="1546">
        <f>H40*1.01</f>
        <v>28.594110000000001</v>
      </c>
      <c r="J40" s="1546">
        <f>G40*1.045</f>
        <v>29.489899999999995</v>
      </c>
      <c r="K40" s="1546">
        <f>J40*1.043</f>
        <v>30.757965699999993</v>
      </c>
      <c r="L40" s="1128">
        <f>K40*1.043</f>
        <v>32.080558225099992</v>
      </c>
      <c r="M40" s="3150"/>
      <c r="N40" s="3150"/>
      <c r="O40" s="3150"/>
      <c r="P40" s="3150"/>
      <c r="Q40" s="2711">
        <f>J40</f>
        <v>29.489899999999995</v>
      </c>
      <c r="R40" s="1130"/>
      <c r="S40" s="2700"/>
      <c r="T40" s="116"/>
      <c r="U40" s="116"/>
      <c r="V40" s="2684"/>
      <c r="W40" s="116"/>
    </row>
    <row r="41" spans="1:23">
      <c r="A41" s="999"/>
      <c r="B41" s="108" t="s">
        <v>153</v>
      </c>
      <c r="C41" s="62" t="s">
        <v>11</v>
      </c>
      <c r="D41" s="1137">
        <v>2330.3770490000002</v>
      </c>
      <c r="E41" s="395">
        <f>E39*E40/1000</f>
        <v>2181.7661389598802</v>
      </c>
      <c r="F41" s="395">
        <f>F39*F40/1000</f>
        <v>2332.1407999999997</v>
      </c>
      <c r="G41" s="395">
        <f t="shared" ref="G41:L41" si="8">G39*G40/1000</f>
        <v>2328.2414666639997</v>
      </c>
      <c r="H41" s="395">
        <f t="shared" si="8"/>
        <v>1153.4680582136639</v>
      </c>
      <c r="I41" s="395">
        <f t="shared" si="8"/>
        <v>2330.005477591601</v>
      </c>
      <c r="J41" s="395">
        <f t="shared" si="8"/>
        <v>2433.0123326638795</v>
      </c>
      <c r="K41" s="395">
        <f t="shared" si="8"/>
        <v>2537.631862968426</v>
      </c>
      <c r="L41" s="2559">
        <f t="shared" si="8"/>
        <v>2646.750033076069</v>
      </c>
      <c r="M41" s="3151"/>
      <c r="N41" s="3151"/>
      <c r="O41" s="3151"/>
      <c r="P41" s="3151"/>
      <c r="Q41" s="2715">
        <f t="shared" ref="Q41" si="9">Q40*Q39/1000</f>
        <v>2433.0123326638795</v>
      </c>
      <c r="R41" s="1138"/>
      <c r="S41" s="1139"/>
      <c r="T41" s="2689"/>
      <c r="U41" s="2689"/>
      <c r="V41" s="2686"/>
      <c r="W41" s="116"/>
    </row>
    <row r="42" spans="1:23">
      <c r="A42" s="1101"/>
      <c r="B42" s="165" t="s">
        <v>581</v>
      </c>
      <c r="C42" s="62"/>
      <c r="D42" s="1133"/>
      <c r="E42" s="395"/>
      <c r="F42" s="1135"/>
      <c r="G42" s="1134"/>
      <c r="H42" s="1547"/>
      <c r="I42" s="1547"/>
      <c r="J42" s="1547"/>
      <c r="K42" s="1547"/>
      <c r="L42" s="1133"/>
      <c r="M42" s="3152"/>
      <c r="N42" s="3152"/>
      <c r="O42" s="3152"/>
      <c r="P42" s="3152"/>
      <c r="Q42" s="2714"/>
      <c r="R42" s="1136"/>
      <c r="S42" s="2700"/>
      <c r="T42" s="116"/>
      <c r="U42" s="116"/>
      <c r="V42" s="2684"/>
      <c r="W42" s="116"/>
    </row>
    <row r="43" spans="1:23">
      <c r="A43" s="1101"/>
      <c r="B43" s="1" t="s">
        <v>149</v>
      </c>
      <c r="C43" s="1" t="s">
        <v>579</v>
      </c>
      <c r="D43" s="1126">
        <v>10500</v>
      </c>
      <c r="E43" s="394">
        <f>30978.63*0.9*0.4</f>
        <v>11152.3068</v>
      </c>
      <c r="F43" s="1126">
        <v>11027.152</v>
      </c>
      <c r="G43" s="1126">
        <f>E43</f>
        <v>11152.3068</v>
      </c>
      <c r="H43" s="1126">
        <f>14615.1*0.96*0.41</f>
        <v>5752.5033599999997</v>
      </c>
      <c r="I43" s="1126">
        <f>H43*2</f>
        <v>11505.006719999999</v>
      </c>
      <c r="J43" s="1126">
        <f>G43</f>
        <v>11152.3068</v>
      </c>
      <c r="K43" s="1126">
        <f>J43</f>
        <v>11152.3068</v>
      </c>
      <c r="L43" s="1546">
        <f>K43</f>
        <v>11152.3068</v>
      </c>
      <c r="M43" s="582"/>
      <c r="N43" s="582"/>
      <c r="O43" s="582"/>
      <c r="P43" s="582"/>
      <c r="Q43" s="2709">
        <f>F43</f>
        <v>11027.152</v>
      </c>
      <c r="R43" s="1127"/>
      <c r="S43" s="2710"/>
      <c r="T43" s="2687"/>
      <c r="U43" s="2687"/>
      <c r="V43" s="2684"/>
      <c r="W43" s="116"/>
    </row>
    <row r="44" spans="1:23">
      <c r="A44" s="1101"/>
      <c r="B44" s="1" t="s">
        <v>160</v>
      </c>
      <c r="C44" s="1" t="s">
        <v>291</v>
      </c>
      <c r="D44" s="1133">
        <v>29.260000000000005</v>
      </c>
      <c r="E44" s="394">
        <f>902284.31/30978.63</f>
        <v>29.126023649205923</v>
      </c>
      <c r="F44" s="1129">
        <v>29.7088</v>
      </c>
      <c r="G44" s="1126">
        <v>30.7</v>
      </c>
      <c r="H44" s="1546">
        <v>30.718</v>
      </c>
      <c r="I44" s="1546">
        <f>H44*1.01</f>
        <v>31.025179999999999</v>
      </c>
      <c r="J44" s="1546">
        <f>G44*1.045</f>
        <v>32.081499999999998</v>
      </c>
      <c r="K44" s="1546">
        <f>J44*1.043</f>
        <v>33.461004499999994</v>
      </c>
      <c r="L44" s="1128">
        <f>K44*1.043</f>
        <v>34.899827693499994</v>
      </c>
      <c r="M44" s="3150"/>
      <c r="N44" s="3150"/>
      <c r="O44" s="3150"/>
      <c r="P44" s="3150"/>
      <c r="Q44" s="2711">
        <f>I44*1.026</f>
        <v>31.83183468</v>
      </c>
      <c r="R44" s="1130"/>
      <c r="S44" s="2700"/>
      <c r="T44" s="116"/>
      <c r="U44" s="116"/>
      <c r="V44" s="2684"/>
      <c r="W44" s="116"/>
    </row>
    <row r="45" spans="1:23" ht="15.75" thickBot="1">
      <c r="A45" s="1080"/>
      <c r="B45" s="108" t="s">
        <v>153</v>
      </c>
      <c r="C45" s="62" t="s">
        <v>11</v>
      </c>
      <c r="D45" s="1138">
        <v>307.23000000000008</v>
      </c>
      <c r="E45" s="405">
        <f>E43*E44/1000</f>
        <v>324.82235160000005</v>
      </c>
      <c r="F45" s="405">
        <f>F43*F44/1000</f>
        <v>327.6034533376</v>
      </c>
      <c r="G45" s="405">
        <f t="shared" ref="G45:L45" si="10">G43*G44/1000</f>
        <v>342.37581876000002</v>
      </c>
      <c r="H45" s="405">
        <f t="shared" si="10"/>
        <v>176.70539821247999</v>
      </c>
      <c r="I45" s="405">
        <f t="shared" si="10"/>
        <v>356.94490438920957</v>
      </c>
      <c r="J45" s="405">
        <f t="shared" si="10"/>
        <v>357.78273060419997</v>
      </c>
      <c r="K45" s="405">
        <f t="shared" si="10"/>
        <v>373.16738802018057</v>
      </c>
      <c r="L45" s="2694">
        <f t="shared" si="10"/>
        <v>389.21358570504827</v>
      </c>
      <c r="M45" s="3153"/>
      <c r="N45" s="3153"/>
      <c r="O45" s="3153"/>
      <c r="P45" s="3153"/>
      <c r="Q45" s="2715">
        <f t="shared" ref="Q45:R45" si="11">Q44*Q43/1000</f>
        <v>351.01447945523137</v>
      </c>
      <c r="R45" s="1139">
        <f t="shared" si="11"/>
        <v>0</v>
      </c>
      <c r="S45" s="2716">
        <f t="shared" ref="S45" si="12">S44*S43</f>
        <v>0</v>
      </c>
      <c r="T45" s="117"/>
      <c r="U45" s="117"/>
      <c r="V45" s="2686"/>
      <c r="W45" s="116"/>
    </row>
    <row r="46" spans="1:23" ht="15.75" thickBot="1">
      <c r="A46" s="37"/>
      <c r="B46" s="38" t="s">
        <v>157</v>
      </c>
      <c r="C46" s="38" t="s">
        <v>11</v>
      </c>
      <c r="D46" s="410">
        <f>D41+D37+D45</f>
        <v>5052.7230490000011</v>
      </c>
      <c r="E46" s="2001">
        <f t="shared" ref="E46:S46" si="13">E41+E37+E45</f>
        <v>5196.7401605920886</v>
      </c>
      <c r="F46" s="2001">
        <f t="shared" si="13"/>
        <v>5203.360887402132</v>
      </c>
      <c r="G46" s="2001">
        <f t="shared" ref="G46:I46" si="14">G41+G37+G45</f>
        <v>5465.2921246259993</v>
      </c>
      <c r="H46" s="2001">
        <f t="shared" si="14"/>
        <v>3145.1639770405436</v>
      </c>
      <c r="I46" s="2001">
        <f t="shared" si="14"/>
        <v>6353.2312336218984</v>
      </c>
      <c r="J46" s="410">
        <f t="shared" ref="J46" si="15">J41+J37+J45</f>
        <v>5711.2302702341694</v>
      </c>
      <c r="K46" s="410">
        <f t="shared" ref="K46" si="16">K41+K37+K45</f>
        <v>5956.8131718542381</v>
      </c>
      <c r="L46" s="2680">
        <f t="shared" ref="L46" si="17">L41+L37+L45</f>
        <v>6212.9561382439706</v>
      </c>
      <c r="M46" s="3154"/>
      <c r="N46" s="3154"/>
      <c r="O46" s="3154"/>
      <c r="P46" s="3154"/>
      <c r="Q46" s="2717">
        <f t="shared" si="13"/>
        <v>5704.4620190852011</v>
      </c>
      <c r="R46" s="410">
        <f t="shared" si="13"/>
        <v>0</v>
      </c>
      <c r="S46" s="2718">
        <f t="shared" si="13"/>
        <v>0</v>
      </c>
      <c r="T46" s="2690"/>
      <c r="U46" s="2690"/>
      <c r="V46" s="2690"/>
      <c r="W46" s="116"/>
    </row>
    <row r="47" spans="1:23" ht="69.75" customHeight="1">
      <c r="A47" s="1000" t="s">
        <v>161</v>
      </c>
      <c r="B47" s="45" t="s">
        <v>162</v>
      </c>
      <c r="C47" s="46"/>
      <c r="D47" s="46"/>
      <c r="E47" s="46"/>
      <c r="F47" s="54"/>
      <c r="G47" s="46"/>
      <c r="H47" s="54"/>
      <c r="I47" s="54"/>
      <c r="J47" s="54"/>
      <c r="K47" s="54"/>
      <c r="L47" s="54"/>
      <c r="M47" s="3155"/>
      <c r="N47" s="3155"/>
      <c r="O47" s="3155"/>
      <c r="P47" s="3155"/>
      <c r="Q47" s="2719"/>
      <c r="R47" s="1102"/>
      <c r="S47" s="2720"/>
      <c r="T47" s="117"/>
      <c r="U47" s="117"/>
      <c r="V47" s="2684"/>
      <c r="W47" s="116"/>
    </row>
    <row r="48" spans="1:23">
      <c r="A48" s="1002" t="s">
        <v>64</v>
      </c>
      <c r="B48" s="44" t="s">
        <v>590</v>
      </c>
      <c r="C48" s="1"/>
      <c r="D48" s="1"/>
      <c r="E48" s="56"/>
      <c r="F48" s="50"/>
      <c r="G48" s="1"/>
      <c r="H48" s="50"/>
      <c r="I48" s="50"/>
      <c r="J48" s="50"/>
      <c r="K48" s="50"/>
      <c r="L48" s="50"/>
      <c r="M48" s="1481"/>
      <c r="N48" s="1481"/>
      <c r="O48" s="1481"/>
      <c r="P48" s="1481"/>
      <c r="Q48" s="2537"/>
      <c r="R48" s="998"/>
      <c r="S48" s="2700"/>
      <c r="T48" s="116"/>
      <c r="U48" s="116"/>
      <c r="V48" s="2684"/>
      <c r="W48" s="116"/>
    </row>
    <row r="49" spans="1:23">
      <c r="A49" s="538"/>
      <c r="B49" s="1" t="s">
        <v>149</v>
      </c>
      <c r="C49" s="1" t="s">
        <v>579</v>
      </c>
      <c r="D49" s="416">
        <f>392.5</f>
        <v>392.5</v>
      </c>
      <c r="E49" s="394">
        <f>1318.1*0.9*0.4</f>
        <v>474.51600000000002</v>
      </c>
      <c r="F49" s="415">
        <v>392.5</v>
      </c>
      <c r="G49" s="416">
        <v>392.5</v>
      </c>
      <c r="H49" s="415">
        <f>G49</f>
        <v>392.5</v>
      </c>
      <c r="I49" s="415">
        <f>H49</f>
        <v>392.5</v>
      </c>
      <c r="J49" s="415">
        <f>G49</f>
        <v>392.5</v>
      </c>
      <c r="K49" s="415">
        <f>J49</f>
        <v>392.5</v>
      </c>
      <c r="L49" s="415">
        <v>392.5</v>
      </c>
      <c r="M49" s="1485"/>
      <c r="N49" s="1485"/>
      <c r="O49" s="1485"/>
      <c r="P49" s="1485"/>
      <c r="Q49" s="1605">
        <v>0</v>
      </c>
      <c r="R49" s="1030"/>
      <c r="S49" s="2701"/>
      <c r="T49" s="1290" t="s">
        <v>1744</v>
      </c>
      <c r="U49" s="1290"/>
      <c r="V49" s="2684"/>
      <c r="W49" s="116"/>
    </row>
    <row r="50" spans="1:23">
      <c r="A50" s="538"/>
      <c r="B50" s="1" t="s">
        <v>160</v>
      </c>
      <c r="C50" s="1" t="s">
        <v>1041</v>
      </c>
      <c r="D50" s="416">
        <v>369.88</v>
      </c>
      <c r="E50" s="394">
        <f>476668.14/1318.1</f>
        <v>361.63275927471364</v>
      </c>
      <c r="F50" s="415">
        <v>421.43944896000005</v>
      </c>
      <c r="G50" s="416">
        <v>376.1</v>
      </c>
      <c r="H50" s="415">
        <f>G50</f>
        <v>376.1</v>
      </c>
      <c r="I50" s="415">
        <f>H50</f>
        <v>376.1</v>
      </c>
      <c r="J50" s="415">
        <f>G50*1.045</f>
        <v>393.02449999999999</v>
      </c>
      <c r="K50" s="415">
        <f>J50*1.043</f>
        <v>409.92455349999994</v>
      </c>
      <c r="L50" s="415">
        <f>K50*1.043</f>
        <v>427.5513093004999</v>
      </c>
      <c r="M50" s="1485"/>
      <c r="N50" s="1485"/>
      <c r="O50" s="1485"/>
      <c r="P50" s="1485"/>
      <c r="Q50" s="1605">
        <v>0</v>
      </c>
      <c r="R50" s="1030"/>
      <c r="S50" s="2701"/>
      <c r="T50" s="1290"/>
      <c r="U50" s="1290"/>
      <c r="V50" s="2684"/>
      <c r="W50" s="116"/>
    </row>
    <row r="51" spans="1:23">
      <c r="A51" s="999"/>
      <c r="B51" s="108" t="s">
        <v>593</v>
      </c>
      <c r="C51" s="408" t="s">
        <v>11</v>
      </c>
      <c r="D51" s="417">
        <f t="shared" ref="D51:Q51" si="18">D49*D50/1000</f>
        <v>145.17789999999999</v>
      </c>
      <c r="E51" s="395">
        <f>E49*E50/1000</f>
        <v>171.60053040000003</v>
      </c>
      <c r="F51" s="417">
        <v>165.41498371680001</v>
      </c>
      <c r="G51" s="417">
        <f t="shared" si="18"/>
        <v>147.61924999999999</v>
      </c>
      <c r="H51" s="417">
        <f t="shared" si="18"/>
        <v>147.61924999999999</v>
      </c>
      <c r="I51" s="417">
        <f t="shared" si="18"/>
        <v>147.61924999999999</v>
      </c>
      <c r="J51" s="417">
        <f t="shared" si="18"/>
        <v>154.26211624999999</v>
      </c>
      <c r="K51" s="417">
        <f t="shared" si="18"/>
        <v>160.89538724874998</v>
      </c>
      <c r="L51" s="2695">
        <f t="shared" si="18"/>
        <v>167.81388890044622</v>
      </c>
      <c r="M51" s="3156"/>
      <c r="N51" s="3156"/>
      <c r="O51" s="3156"/>
      <c r="P51" s="3156"/>
      <c r="Q51" s="2721">
        <f t="shared" si="18"/>
        <v>0</v>
      </c>
      <c r="R51" s="1103"/>
      <c r="S51" s="2722"/>
      <c r="T51" s="2691"/>
      <c r="U51" s="2691"/>
      <c r="V51" s="2686"/>
      <c r="W51" s="116"/>
    </row>
    <row r="52" spans="1:23">
      <c r="A52" s="538"/>
      <c r="B52" s="43" t="s">
        <v>591</v>
      </c>
      <c r="C52" s="1"/>
      <c r="D52" s="1"/>
      <c r="E52" s="394"/>
      <c r="F52" s="1"/>
      <c r="G52" s="1"/>
      <c r="H52" s="50"/>
      <c r="I52" s="50"/>
      <c r="J52" s="50"/>
      <c r="K52" s="50"/>
      <c r="L52" s="50"/>
      <c r="M52" s="1481"/>
      <c r="N52" s="1481"/>
      <c r="O52" s="1481"/>
      <c r="P52" s="1481"/>
      <c r="Q52" s="2537"/>
      <c r="R52" s="998"/>
      <c r="S52" s="2700"/>
      <c r="T52" s="116"/>
      <c r="U52" s="116"/>
      <c r="V52" s="2684"/>
      <c r="W52" s="116"/>
    </row>
    <row r="53" spans="1:23">
      <c r="A53" s="538"/>
      <c r="B53" s="1" t="s">
        <v>149</v>
      </c>
      <c r="C53" s="1" t="s">
        <v>1042</v>
      </c>
      <c r="D53" s="1">
        <v>52.9</v>
      </c>
      <c r="E53" s="394">
        <f>80*0.4</f>
        <v>32</v>
      </c>
      <c r="F53" s="394">
        <v>53</v>
      </c>
      <c r="G53" s="394">
        <f t="shared" ref="G53:I53" si="19">80*0.4</f>
        <v>32</v>
      </c>
      <c r="H53" s="394">
        <f t="shared" si="19"/>
        <v>32</v>
      </c>
      <c r="I53" s="394">
        <f t="shared" si="19"/>
        <v>32</v>
      </c>
      <c r="J53" s="1771">
        <f>G53</f>
        <v>32</v>
      </c>
      <c r="K53" s="1771">
        <f>J53</f>
        <v>32</v>
      </c>
      <c r="L53" s="1771">
        <f>K53</f>
        <v>32</v>
      </c>
      <c r="M53" s="3157"/>
      <c r="N53" s="3157"/>
      <c r="O53" s="3157"/>
      <c r="P53" s="3157"/>
      <c r="Q53" s="2537">
        <v>0</v>
      </c>
      <c r="R53" s="998"/>
      <c r="S53" s="2700"/>
      <c r="T53" s="116" t="s">
        <v>1744</v>
      </c>
      <c r="U53" s="116"/>
      <c r="V53" s="2684"/>
      <c r="W53" s="116"/>
    </row>
    <row r="54" spans="1:23">
      <c r="A54" s="538"/>
      <c r="B54" s="1" t="s">
        <v>160</v>
      </c>
      <c r="C54" s="1" t="s">
        <v>1034</v>
      </c>
      <c r="D54" s="416">
        <f>E54/1.08</f>
        <v>1461.1111111111111</v>
      </c>
      <c r="E54" s="394">
        <v>1578</v>
      </c>
      <c r="F54" s="416">
        <v>1664.9288801999999</v>
      </c>
      <c r="G54" s="416">
        <v>1665</v>
      </c>
      <c r="H54" s="416">
        <v>1666</v>
      </c>
      <c r="I54" s="416">
        <v>1667</v>
      </c>
      <c r="J54" s="415">
        <f>G54*1.045</f>
        <v>1739.925</v>
      </c>
      <c r="K54" s="415">
        <f>J54*1.043</f>
        <v>1814.7417749999997</v>
      </c>
      <c r="L54" s="415">
        <f>K54*1.043</f>
        <v>1892.7756713249996</v>
      </c>
      <c r="M54" s="1485"/>
      <c r="N54" s="1485"/>
      <c r="O54" s="1485"/>
      <c r="P54" s="1485"/>
      <c r="Q54" s="1605">
        <v>0</v>
      </c>
      <c r="R54" s="1030">
        <f>Q54*1.043</f>
        <v>0</v>
      </c>
      <c r="S54" s="2701"/>
      <c r="T54" s="1290"/>
      <c r="U54" s="1290"/>
      <c r="V54" s="2684"/>
      <c r="W54" s="116"/>
    </row>
    <row r="55" spans="1:23" ht="15.75" thickBot="1">
      <c r="A55" s="538"/>
      <c r="B55" s="418" t="s">
        <v>153</v>
      </c>
      <c r="C55" s="408" t="s">
        <v>11</v>
      </c>
      <c r="D55" s="408">
        <f t="shared" ref="D55:S55" si="20">D54*D53/1000</f>
        <v>77.292777777777786</v>
      </c>
      <c r="E55" s="405">
        <f>E53*E54/1000</f>
        <v>50.496000000000002</v>
      </c>
      <c r="F55" s="408">
        <v>88.241230650599988</v>
      </c>
      <c r="G55" s="408">
        <f t="shared" si="20"/>
        <v>53.28</v>
      </c>
      <c r="H55" s="408">
        <f t="shared" ref="H55:I55" si="21">H54*H53/1000</f>
        <v>53.311999999999998</v>
      </c>
      <c r="I55" s="408">
        <f t="shared" si="21"/>
        <v>53.344000000000001</v>
      </c>
      <c r="J55" s="408">
        <f t="shared" si="20"/>
        <v>55.677599999999998</v>
      </c>
      <c r="K55" s="408">
        <f t="shared" si="20"/>
        <v>58.071736799999989</v>
      </c>
      <c r="L55" s="1293">
        <f t="shared" si="20"/>
        <v>60.56882148239999</v>
      </c>
      <c r="M55" s="3158"/>
      <c r="N55" s="3158"/>
      <c r="O55" s="3158"/>
      <c r="P55" s="3158"/>
      <c r="Q55" s="2646">
        <f t="shared" si="20"/>
        <v>0</v>
      </c>
      <c r="R55" s="408">
        <f t="shared" si="20"/>
        <v>0</v>
      </c>
      <c r="S55" s="1027">
        <f t="shared" si="20"/>
        <v>0</v>
      </c>
      <c r="T55" s="2422"/>
      <c r="U55" s="2422"/>
      <c r="V55" s="2686"/>
      <c r="W55" s="116"/>
    </row>
    <row r="56" spans="1:23" ht="15.75" thickBot="1">
      <c r="A56" s="37"/>
      <c r="B56" s="393" t="s">
        <v>157</v>
      </c>
      <c r="C56" s="393" t="s">
        <v>11</v>
      </c>
      <c r="D56" s="420">
        <f t="shared" ref="D56:S56" si="22">D51+D55</f>
        <v>222.47067777777778</v>
      </c>
      <c r="E56" s="420">
        <f t="shared" si="22"/>
        <v>222.09653040000003</v>
      </c>
      <c r="F56" s="420">
        <v>253.6562143674</v>
      </c>
      <c r="G56" s="420">
        <f t="shared" si="22"/>
        <v>200.89924999999999</v>
      </c>
      <c r="H56" s="420">
        <f t="shared" si="22"/>
        <v>200.93124999999998</v>
      </c>
      <c r="I56" s="420">
        <f t="shared" si="22"/>
        <v>200.96324999999999</v>
      </c>
      <c r="J56" s="420">
        <f t="shared" si="22"/>
        <v>209.93971625</v>
      </c>
      <c r="K56" s="420">
        <f t="shared" si="22"/>
        <v>218.96712404874998</v>
      </c>
      <c r="L56" s="2681">
        <f t="shared" si="22"/>
        <v>228.3827103828462</v>
      </c>
      <c r="M56" s="3159"/>
      <c r="N56" s="3159"/>
      <c r="O56" s="3159"/>
      <c r="P56" s="3159"/>
      <c r="Q56" s="2723">
        <f t="shared" si="22"/>
        <v>0</v>
      </c>
      <c r="R56" s="420">
        <f t="shared" si="22"/>
        <v>0</v>
      </c>
      <c r="S56" s="2724">
        <f t="shared" si="22"/>
        <v>0</v>
      </c>
      <c r="T56" s="2422"/>
      <c r="U56" s="2422"/>
      <c r="V56" s="2422"/>
      <c r="W56" s="116"/>
    </row>
    <row r="57" spans="1:23" ht="44.25" customHeight="1">
      <c r="A57" s="1003" t="s">
        <v>163</v>
      </c>
      <c r="B57" s="1560" t="s">
        <v>1204</v>
      </c>
      <c r="C57" s="47" t="s">
        <v>164</v>
      </c>
      <c r="D57" s="421">
        <v>2517.4899999999998</v>
      </c>
      <c r="E57" s="421">
        <f>'материалы- ВС,ВО'!I38</f>
        <v>3546.1425731519994</v>
      </c>
      <c r="F57" s="421">
        <v>3786.76</v>
      </c>
      <c r="G57" s="421">
        <f>E57*1.03</f>
        <v>3652.5268503465595</v>
      </c>
      <c r="H57" s="421">
        <f>H58+H59+H60+H61</f>
        <v>2559.8289407999996</v>
      </c>
      <c r="I57" s="421">
        <f>I58+I59+I60+I61</f>
        <v>5119.6578815999992</v>
      </c>
      <c r="J57" s="421">
        <f>I57*1.045</f>
        <v>5350.0424862719992</v>
      </c>
      <c r="K57" s="421">
        <f>J57*1.043</f>
        <v>5580.0943131816948</v>
      </c>
      <c r="L57" s="422">
        <f>K57*1.043</f>
        <v>5820.0383686485075</v>
      </c>
      <c r="M57" s="3160"/>
      <c r="N57" s="3160"/>
      <c r="O57" s="3160"/>
      <c r="P57" s="3160"/>
      <c r="Q57" s="2725">
        <f>Q60</f>
        <v>2911.977900288</v>
      </c>
      <c r="R57" s="1104"/>
      <c r="S57" s="2726"/>
      <c r="T57" s="1290"/>
      <c r="U57" s="1290"/>
      <c r="V57" s="2684"/>
      <c r="W57" s="116"/>
    </row>
    <row r="58" spans="1:23">
      <c r="A58" s="2011"/>
      <c r="B58" s="2012" t="s">
        <v>1383</v>
      </c>
      <c r="C58" s="40" t="s">
        <v>164</v>
      </c>
      <c r="D58" s="433"/>
      <c r="E58" s="433"/>
      <c r="F58" s="433"/>
      <c r="G58" s="433"/>
      <c r="H58" s="2013">
        <f>41.933*0.96*0.59+672.954*0.96*0.59</f>
        <v>404.91199679999994</v>
      </c>
      <c r="I58" s="2013">
        <f>H58*2</f>
        <v>809.82399359999988</v>
      </c>
      <c r="J58" s="433">
        <f>I58*1.045</f>
        <v>846.26607331199978</v>
      </c>
      <c r="K58" s="433">
        <f>J58*1.043</f>
        <v>882.65551446441566</v>
      </c>
      <c r="L58" s="2623">
        <f>K58*1.043</f>
        <v>920.60970158638543</v>
      </c>
      <c r="M58" s="3161"/>
      <c r="N58" s="3161"/>
      <c r="O58" s="3161"/>
      <c r="P58" s="3161"/>
      <c r="Q58" s="2626"/>
      <c r="R58" s="433"/>
      <c r="S58" s="1047"/>
      <c r="T58" s="1290" t="s">
        <v>1780</v>
      </c>
      <c r="U58" s="1290"/>
      <c r="V58" s="2684"/>
      <c r="W58" s="116"/>
    </row>
    <row r="59" spans="1:23" ht="31.5" customHeight="1">
      <c r="A59" s="2011"/>
      <c r="B59" s="2012" t="s">
        <v>1384</v>
      </c>
      <c r="C59" s="40" t="s">
        <v>164</v>
      </c>
      <c r="D59" s="433"/>
      <c r="E59" s="433"/>
      <c r="F59" s="433"/>
      <c r="G59" s="433"/>
      <c r="H59" s="2013">
        <f>220.65*0.96*0.59+214.599*0.96*0.59+328.5*0.96*0.59</f>
        <v>432.58743359999994</v>
      </c>
      <c r="I59" s="2013">
        <f t="shared" ref="I59:I61" si="23">H59*2</f>
        <v>865.17486719999988</v>
      </c>
      <c r="J59" s="433">
        <f t="shared" ref="J59:J61" si="24">I59*1.045</f>
        <v>904.10773622399984</v>
      </c>
      <c r="K59" s="433">
        <f t="shared" ref="K59:L61" si="25">J59*1.043</f>
        <v>942.98436888163178</v>
      </c>
      <c r="L59" s="2623">
        <f t="shared" si="25"/>
        <v>983.53269674354192</v>
      </c>
      <c r="M59" s="3161"/>
      <c r="N59" s="3161"/>
      <c r="O59" s="3161"/>
      <c r="P59" s="3161"/>
      <c r="Q59" s="2626"/>
      <c r="R59" s="433"/>
      <c r="S59" s="1047"/>
      <c r="T59" s="1290" t="s">
        <v>1779</v>
      </c>
      <c r="U59" s="1290"/>
      <c r="V59" s="2684"/>
      <c r="W59" s="116"/>
    </row>
    <row r="60" spans="1:23" ht="45">
      <c r="A60" s="2011"/>
      <c r="B60" s="2012" t="s">
        <v>1385</v>
      </c>
      <c r="C60" s="40" t="s">
        <v>164</v>
      </c>
      <c r="D60" s="433"/>
      <c r="E60" s="433"/>
      <c r="F60" s="433"/>
      <c r="G60" s="433"/>
      <c r="H60" s="2013">
        <f>925.865*0.96*0.59+1454.46*0.96*0.59+125.135*0.96*0.59</f>
        <v>1419.0925439999999</v>
      </c>
      <c r="I60" s="2013">
        <f t="shared" si="23"/>
        <v>2838.1850879999997</v>
      </c>
      <c r="J60" s="433">
        <f t="shared" si="24"/>
        <v>2965.9034169599995</v>
      </c>
      <c r="K60" s="433">
        <f t="shared" si="25"/>
        <v>3093.4372638892792</v>
      </c>
      <c r="L60" s="2623">
        <f t="shared" si="25"/>
        <v>3226.4550662365177</v>
      </c>
      <c r="M60" s="3161"/>
      <c r="N60" s="3161"/>
      <c r="O60" s="3161"/>
      <c r="P60" s="3161"/>
      <c r="Q60" s="2626">
        <f>I60*1.026</f>
        <v>2911.977900288</v>
      </c>
      <c r="R60" s="433"/>
      <c r="S60" s="1047"/>
      <c r="T60" s="1290"/>
      <c r="U60" s="1290"/>
      <c r="V60" s="2684"/>
      <c r="W60" s="116"/>
    </row>
    <row r="61" spans="1:23">
      <c r="A61" s="2011"/>
      <c r="B61" s="2012" t="s">
        <v>1387</v>
      </c>
      <c r="C61" s="40" t="s">
        <v>164</v>
      </c>
      <c r="D61" s="433"/>
      <c r="E61" s="433"/>
      <c r="F61" s="433"/>
      <c r="G61" s="433"/>
      <c r="H61" s="2013">
        <f>328.89*0.96*0.59+125.516*0.96*0.59+80.97*0.96*0.59</f>
        <v>303.23696639999997</v>
      </c>
      <c r="I61" s="2013">
        <f t="shared" si="23"/>
        <v>606.47393279999994</v>
      </c>
      <c r="J61" s="433">
        <f t="shared" si="24"/>
        <v>633.76525977599988</v>
      </c>
      <c r="K61" s="433">
        <f t="shared" si="25"/>
        <v>661.01716594636787</v>
      </c>
      <c r="L61" s="2623">
        <f t="shared" si="25"/>
        <v>689.44090408206159</v>
      </c>
      <c r="M61" s="3161"/>
      <c r="N61" s="3161"/>
      <c r="O61" s="3161"/>
      <c r="P61" s="3161"/>
      <c r="Q61" s="2626"/>
      <c r="R61" s="433"/>
      <c r="S61" s="1047"/>
      <c r="T61" s="1290" t="s">
        <v>1779</v>
      </c>
      <c r="U61" s="1290"/>
      <c r="V61" s="2684"/>
      <c r="W61" s="116"/>
    </row>
    <row r="62" spans="1:23" ht="30.75" thickBot="1">
      <c r="A62" s="2014"/>
      <c r="B62" s="2017" t="s">
        <v>1388</v>
      </c>
      <c r="C62" s="2015"/>
      <c r="D62" s="2016">
        <f>D56+D57</f>
        <v>2739.9606777777776</v>
      </c>
      <c r="E62" s="2016">
        <f>E56+E57</f>
        <v>3768.2391035519995</v>
      </c>
      <c r="F62" s="2016">
        <v>4040.4162143674002</v>
      </c>
      <c r="G62" s="2016">
        <f>G56+G57</f>
        <v>3853.4261003465595</v>
      </c>
      <c r="H62" s="2016">
        <f t="shared" ref="H62" si="26">H56+H57</f>
        <v>2760.7601907999997</v>
      </c>
      <c r="I62" s="2016">
        <f>I56+I57</f>
        <v>5320.621131599999</v>
      </c>
      <c r="J62" s="2016">
        <f t="shared" ref="J62:L62" si="27">J56+J57</f>
        <v>5559.9822025219992</v>
      </c>
      <c r="K62" s="2016">
        <f t="shared" si="27"/>
        <v>5799.0614372304444</v>
      </c>
      <c r="L62" s="2682">
        <f t="shared" si="27"/>
        <v>6048.4210790313537</v>
      </c>
      <c r="M62" s="3162"/>
      <c r="N62" s="3162"/>
      <c r="O62" s="3162"/>
      <c r="P62" s="3162"/>
      <c r="Q62" s="2727">
        <f>Q56+Q57</f>
        <v>2911.977900288</v>
      </c>
      <c r="R62" s="2016">
        <f>R56+R57</f>
        <v>0</v>
      </c>
      <c r="S62" s="2728">
        <f>S56+S57</f>
        <v>0</v>
      </c>
      <c r="T62" s="2422"/>
      <c r="U62" s="2422"/>
      <c r="V62" s="2422"/>
      <c r="W62" s="116"/>
    </row>
    <row r="63" spans="1:23" ht="15.75" thickBot="1">
      <c r="A63" s="76"/>
      <c r="B63" s="77" t="s">
        <v>1389</v>
      </c>
      <c r="C63" s="77" t="s">
        <v>11</v>
      </c>
      <c r="D63" s="430">
        <f t="shared" ref="D63:S63" si="28">D32+D46+D56+D57</f>
        <v>8093.0697267777787</v>
      </c>
      <c r="E63" s="430">
        <f t="shared" si="28"/>
        <v>9166.3944641440885</v>
      </c>
      <c r="F63" s="430">
        <f t="shared" si="28"/>
        <v>9513.007988169531</v>
      </c>
      <c r="G63" s="430">
        <f t="shared" si="28"/>
        <v>9506.3406249725595</v>
      </c>
      <c r="H63" s="430">
        <f t="shared" si="28"/>
        <v>6013.0073678405433</v>
      </c>
      <c r="I63" s="430">
        <f t="shared" si="28"/>
        <v>11906.465165221896</v>
      </c>
      <c r="J63" s="430">
        <f t="shared" si="28"/>
        <v>11529.707016756169</v>
      </c>
      <c r="K63" s="430">
        <f t="shared" si="28"/>
        <v>12025.484418476683</v>
      </c>
      <c r="L63" s="2645">
        <f t="shared" si="28"/>
        <v>12544.279994476325</v>
      </c>
      <c r="M63" s="2645"/>
      <c r="N63" s="2645"/>
      <c r="O63" s="2645"/>
      <c r="P63" s="2645"/>
      <c r="Q63" s="2645">
        <f>Q32+Q46+Q62</f>
        <v>8870.2345625732014</v>
      </c>
      <c r="R63" s="1105">
        <f t="shared" si="28"/>
        <v>0</v>
      </c>
      <c r="S63" s="2729">
        <f t="shared" si="28"/>
        <v>0</v>
      </c>
      <c r="T63" s="2691"/>
      <c r="U63" s="2691"/>
      <c r="V63" s="2686"/>
      <c r="W63" s="116"/>
    </row>
    <row r="64" spans="1:23">
      <c r="T64" s="790"/>
      <c r="U64" s="790"/>
      <c r="V64" s="790"/>
      <c r="W64" s="790"/>
    </row>
    <row r="65" spans="1:23">
      <c r="T65" s="790"/>
      <c r="U65" s="790"/>
      <c r="V65" s="790"/>
      <c r="W65" s="790"/>
    </row>
    <row r="66" spans="1:23" s="56" customFormat="1">
      <c r="F66" s="56" t="s">
        <v>171</v>
      </c>
    </row>
    <row r="67" spans="1:23">
      <c r="A67" s="55"/>
      <c r="B67" s="56"/>
      <c r="C67" s="56"/>
      <c r="D67" s="56"/>
      <c r="E67" s="56"/>
      <c r="F67" s="3457" t="s">
        <v>169</v>
      </c>
      <c r="G67" s="3457"/>
      <c r="H67" s="3457"/>
      <c r="I67" s="3457"/>
      <c r="J67" s="3457"/>
      <c r="K67" s="3457"/>
      <c r="L67" s="3457"/>
      <c r="M67" s="3457"/>
      <c r="N67" s="3457"/>
      <c r="O67" s="3457"/>
      <c r="P67" s="3457"/>
      <c r="Q67" s="3457"/>
      <c r="R67" s="3457"/>
      <c r="S67" s="3457"/>
    </row>
    <row r="68" spans="1:23">
      <c r="A68" s="55"/>
      <c r="B68" s="56"/>
      <c r="C68" s="56"/>
      <c r="D68" s="56"/>
      <c r="E68" s="56"/>
      <c r="F68" s="58" t="s">
        <v>294</v>
      </c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U68" s="423"/>
    </row>
    <row r="69" spans="1:23">
      <c r="A69" s="55"/>
      <c r="B69" s="56"/>
      <c r="C69" s="56"/>
      <c r="D69" s="56"/>
      <c r="E69" s="56"/>
      <c r="F69" s="3457" t="s">
        <v>170</v>
      </c>
      <c r="G69" s="3457"/>
      <c r="H69" s="3457"/>
      <c r="I69" s="3457"/>
      <c r="J69" s="3457"/>
      <c r="K69" s="3457"/>
      <c r="L69" s="3457"/>
      <c r="M69" s="3457"/>
      <c r="N69" s="3457"/>
      <c r="O69" s="3457"/>
      <c r="P69" s="3457"/>
      <c r="Q69" s="3457"/>
      <c r="R69" s="3457"/>
      <c r="S69" s="3457"/>
    </row>
    <row r="70" spans="1:23">
      <c r="A70" s="55"/>
      <c r="B70" s="56"/>
      <c r="C70" s="56"/>
      <c r="D70" s="56"/>
      <c r="E70" s="56"/>
      <c r="F70" s="359"/>
      <c r="G70" s="359"/>
      <c r="H70" s="1968"/>
      <c r="I70" s="1968"/>
      <c r="J70" s="1534"/>
      <c r="K70" s="1534"/>
      <c r="L70" s="359"/>
      <c r="M70" s="3082"/>
      <c r="N70" s="3082"/>
      <c r="O70" s="3082"/>
      <c r="P70" s="3082"/>
      <c r="Q70" s="359"/>
      <c r="R70" s="359"/>
      <c r="S70" s="359"/>
    </row>
    <row r="71" spans="1:23" ht="15.75">
      <c r="A71" s="361" t="s">
        <v>525</v>
      </c>
      <c r="B71" s="362"/>
      <c r="C71" s="56"/>
      <c r="D71" s="56"/>
      <c r="E71" s="56"/>
      <c r="F71" s="359"/>
      <c r="G71" s="359"/>
      <c r="H71" s="1968"/>
      <c r="I71" s="1968"/>
      <c r="J71" s="1534"/>
      <c r="K71" s="1534"/>
      <c r="L71" s="359"/>
      <c r="M71" s="3082"/>
      <c r="N71" s="3082"/>
      <c r="O71" s="3082"/>
      <c r="P71" s="3082"/>
      <c r="Q71" s="359"/>
      <c r="R71" s="359"/>
      <c r="S71" s="359"/>
    </row>
    <row r="72" spans="1:23" ht="15.75" thickBot="1">
      <c r="A72" s="59" t="s">
        <v>1781</v>
      </c>
      <c r="B72" s="56"/>
      <c r="C72" s="56"/>
      <c r="D72" s="56"/>
      <c r="E72" s="5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3041">
        <f>Q79/'Баланс ВО 2016'!L37</f>
        <v>0.12133858463715493</v>
      </c>
      <c r="R72" s="3041">
        <f>R79/'Баланс ВО 2016'!M37</f>
        <v>0.119708636144418</v>
      </c>
      <c r="S72" s="3041">
        <f>S79/'Баланс ВО 2016'!N37</f>
        <v>0.11870213067207845</v>
      </c>
      <c r="T72" s="116"/>
      <c r="U72" s="116" t="s">
        <v>1199</v>
      </c>
    </row>
    <row r="73" spans="1:23" ht="16.5" customHeight="1" thickBot="1">
      <c r="A73" s="3389" t="s">
        <v>0</v>
      </c>
      <c r="B73" s="3389" t="s">
        <v>1</v>
      </c>
      <c r="C73" s="3387" t="s">
        <v>2</v>
      </c>
      <c r="D73" s="3632" t="s">
        <v>165</v>
      </c>
      <c r="E73" s="3632"/>
      <c r="F73" s="3632"/>
      <c r="G73" s="3632"/>
      <c r="H73" s="3632"/>
      <c r="I73" s="3632"/>
      <c r="J73" s="3632"/>
      <c r="K73" s="3632"/>
      <c r="L73" s="3633"/>
      <c r="M73" s="3080"/>
      <c r="N73" s="3080"/>
      <c r="O73" s="3080"/>
      <c r="P73" s="3080"/>
      <c r="Q73" s="3635" t="s">
        <v>1460</v>
      </c>
      <c r="R73" s="3636"/>
      <c r="S73" s="3636"/>
      <c r="T73" s="2665"/>
      <c r="V73" s="2683"/>
    </row>
    <row r="74" spans="1:23" ht="18.75" customHeight="1" thickBot="1">
      <c r="A74" s="3401"/>
      <c r="B74" s="3401"/>
      <c r="C74" s="3401"/>
      <c r="D74" s="3388" t="s">
        <v>1196</v>
      </c>
      <c r="E74" s="3496"/>
      <c r="F74" s="3388">
        <v>2015</v>
      </c>
      <c r="G74" s="3496"/>
      <c r="H74" s="3401" t="s">
        <v>1375</v>
      </c>
      <c r="I74" s="3401" t="s">
        <v>1782</v>
      </c>
      <c r="J74" s="3401" t="s">
        <v>394</v>
      </c>
      <c r="K74" s="3401" t="s">
        <v>395</v>
      </c>
      <c r="L74" s="3565" t="s">
        <v>1155</v>
      </c>
      <c r="M74" s="3083"/>
      <c r="N74" s="3083"/>
      <c r="O74" s="3083"/>
      <c r="P74" s="3083"/>
      <c r="Q74" s="3637" t="s">
        <v>1678</v>
      </c>
      <c r="R74" s="3638" t="s">
        <v>1679</v>
      </c>
      <c r="S74" s="3640" t="s">
        <v>1680</v>
      </c>
      <c r="T74" s="3495" t="s">
        <v>1061</v>
      </c>
      <c r="V74" s="3631"/>
    </row>
    <row r="75" spans="1:23" ht="43.5" customHeight="1" thickBot="1">
      <c r="A75" s="3390"/>
      <c r="B75" s="3390"/>
      <c r="C75" s="3390"/>
      <c r="D75" s="2046" t="s">
        <v>5</v>
      </c>
      <c r="E75" s="4" t="s">
        <v>6</v>
      </c>
      <c r="F75" s="4" t="s">
        <v>7</v>
      </c>
      <c r="G75" s="4" t="s">
        <v>8</v>
      </c>
      <c r="H75" s="3390"/>
      <c r="I75" s="3390"/>
      <c r="J75" s="3390"/>
      <c r="K75" s="3390"/>
      <c r="L75" s="3388"/>
      <c r="M75" s="3076"/>
      <c r="N75" s="3076"/>
      <c r="O75" s="3076"/>
      <c r="P75" s="3076"/>
      <c r="Q75" s="3637"/>
      <c r="R75" s="3639"/>
      <c r="S75" s="3641"/>
      <c r="T75" s="3634"/>
      <c r="V75" s="3631"/>
    </row>
    <row r="76" spans="1:23">
      <c r="A76" s="32">
        <v>1</v>
      </c>
      <c r="B76" s="2047">
        <v>2</v>
      </c>
      <c r="C76" s="2047">
        <v>3</v>
      </c>
      <c r="D76" s="2047">
        <v>4</v>
      </c>
      <c r="E76" s="2047">
        <v>5</v>
      </c>
      <c r="F76" s="2047">
        <v>6</v>
      </c>
      <c r="G76" s="2047">
        <v>7</v>
      </c>
      <c r="H76" s="51" t="s">
        <v>1377</v>
      </c>
      <c r="I76" s="51" t="s">
        <v>1378</v>
      </c>
      <c r="J76" s="51"/>
      <c r="K76" s="51"/>
      <c r="L76" s="51">
        <v>8</v>
      </c>
      <c r="M76" s="3143"/>
      <c r="N76" s="3143"/>
      <c r="O76" s="3143"/>
      <c r="P76" s="3143"/>
      <c r="Q76" s="1147">
        <v>9</v>
      </c>
      <c r="R76" s="506">
        <v>10</v>
      </c>
      <c r="S76" s="2696">
        <v>11</v>
      </c>
      <c r="T76" s="995"/>
      <c r="V76" s="2684"/>
    </row>
    <row r="77" spans="1:23">
      <c r="A77" s="538" t="s">
        <v>172</v>
      </c>
      <c r="B77" s="1" t="s">
        <v>173</v>
      </c>
      <c r="C77" s="1"/>
      <c r="D77" s="1"/>
      <c r="E77" s="1"/>
      <c r="F77" s="1"/>
      <c r="G77" s="1"/>
      <c r="H77" s="50"/>
      <c r="I77" s="50"/>
      <c r="J77" s="50"/>
      <c r="K77" s="50"/>
      <c r="L77" s="50"/>
      <c r="M77" s="1481"/>
      <c r="N77" s="1481"/>
      <c r="O77" s="1481"/>
      <c r="P77" s="1481"/>
      <c r="Q77" s="2537"/>
      <c r="R77" s="998"/>
      <c r="S77" s="2700"/>
      <c r="T77" s="995"/>
      <c r="V77" s="2684"/>
    </row>
    <row r="78" spans="1:23">
      <c r="A78" s="1001" t="s">
        <v>174</v>
      </c>
      <c r="B78" s="62" t="s">
        <v>175</v>
      </c>
      <c r="C78" s="63" t="s">
        <v>1064</v>
      </c>
      <c r="D78" s="1"/>
      <c r="E78" s="1"/>
      <c r="F78" s="1"/>
      <c r="G78" s="1"/>
      <c r="H78" s="1"/>
      <c r="I78" s="1"/>
      <c r="J78" s="1"/>
      <c r="K78" s="1"/>
      <c r="L78" s="50"/>
      <c r="M78" s="1481"/>
      <c r="N78" s="1481"/>
      <c r="O78" s="1481"/>
      <c r="P78" s="1481"/>
      <c r="Q78" s="1036"/>
      <c r="R78" s="998"/>
      <c r="S78" s="2700"/>
      <c r="T78" s="995"/>
      <c r="V78" s="2684"/>
    </row>
    <row r="79" spans="1:23" ht="30">
      <c r="A79" s="1011" t="s">
        <v>10</v>
      </c>
      <c r="B79" s="67" t="s">
        <v>176</v>
      </c>
      <c r="C79" s="68" t="s">
        <v>1063</v>
      </c>
      <c r="D79" s="429">
        <f t="shared" ref="D79:L79" si="29">D80+D81+D82+D83</f>
        <v>6820.4659999999994</v>
      </c>
      <c r="E79" s="429">
        <f t="shared" si="29"/>
        <v>7109.6</v>
      </c>
      <c r="F79" s="429">
        <f t="shared" si="29"/>
        <v>7215.5</v>
      </c>
      <c r="G79" s="429">
        <f t="shared" si="29"/>
        <v>7340.4</v>
      </c>
      <c r="H79" s="429">
        <f t="shared" si="29"/>
        <v>4155.55</v>
      </c>
      <c r="I79" s="429">
        <f>H79*2</f>
        <v>8311.1</v>
      </c>
      <c r="J79" s="429">
        <f t="shared" si="29"/>
        <v>8255.5</v>
      </c>
      <c r="K79" s="429">
        <f t="shared" si="29"/>
        <v>8255.5</v>
      </c>
      <c r="L79" s="2730">
        <f t="shared" si="29"/>
        <v>8255.5</v>
      </c>
      <c r="M79" s="3163"/>
      <c r="N79" s="3163"/>
      <c r="O79" s="3163"/>
      <c r="P79" s="3163"/>
      <c r="Q79" s="2736">
        <f>Q80+Q81+Q82+Q83</f>
        <v>7198.1999999999989</v>
      </c>
      <c r="R79" s="2736">
        <f t="shared" ref="R79:S79" si="30">R80+R81+R82+R83</f>
        <v>7198.1999999999989</v>
      </c>
      <c r="S79" s="2736">
        <f t="shared" si="30"/>
        <v>7198.1999999999989</v>
      </c>
      <c r="T79" s="3142" t="s">
        <v>1783</v>
      </c>
      <c r="V79" s="2686"/>
    </row>
    <row r="80" spans="1:23">
      <c r="A80" s="1012" t="s">
        <v>12</v>
      </c>
      <c r="B80" s="69" t="s">
        <v>177</v>
      </c>
      <c r="C80" s="68" t="s">
        <v>1063</v>
      </c>
      <c r="D80" s="429">
        <v>878.56600000000003</v>
      </c>
      <c r="E80" s="429">
        <v>736.1</v>
      </c>
      <c r="F80" s="429">
        <v>760.7</v>
      </c>
      <c r="G80" s="429">
        <v>689.9</v>
      </c>
      <c r="H80" s="429">
        <v>372.85</v>
      </c>
      <c r="I80" s="429">
        <v>742.1</v>
      </c>
      <c r="J80" s="429">
        <v>743.4</v>
      </c>
      <c r="K80" s="429">
        <v>743.4</v>
      </c>
      <c r="L80" s="2730">
        <v>743.4</v>
      </c>
      <c r="M80" s="3163"/>
      <c r="N80" s="3163"/>
      <c r="O80" s="3163"/>
      <c r="P80" s="3163"/>
      <c r="Q80" s="2736">
        <f>J80</f>
        <v>743.4</v>
      </c>
      <c r="R80" s="2736">
        <f>K80</f>
        <v>743.4</v>
      </c>
      <c r="S80" s="2736">
        <f>L80</f>
        <v>743.4</v>
      </c>
      <c r="T80" s="995"/>
      <c r="V80" s="2684"/>
    </row>
    <row r="81" spans="1:22">
      <c r="A81" s="1012" t="s">
        <v>14</v>
      </c>
      <c r="B81" s="69" t="s">
        <v>179</v>
      </c>
      <c r="C81" s="68" t="s">
        <v>1063</v>
      </c>
      <c r="D81" s="429">
        <f>5000+141.9</f>
        <v>5141.8999999999996</v>
      </c>
      <c r="E81" s="429">
        <v>5402</v>
      </c>
      <c r="F81" s="429">
        <v>5408.2</v>
      </c>
      <c r="G81" s="429">
        <v>5679</v>
      </c>
      <c r="H81" s="429">
        <v>3239.3</v>
      </c>
      <c r="I81" s="429">
        <v>6416.4</v>
      </c>
      <c r="J81" s="429">
        <v>6425.3</v>
      </c>
      <c r="K81" s="429">
        <v>6425.3</v>
      </c>
      <c r="L81" s="2730">
        <v>6425.3</v>
      </c>
      <c r="M81" s="3163"/>
      <c r="N81" s="3163"/>
      <c r="O81" s="3163"/>
      <c r="P81" s="3163"/>
      <c r="Q81" s="2736">
        <f>F81</f>
        <v>5408.2</v>
      </c>
      <c r="R81" s="1108">
        <f>Q81</f>
        <v>5408.2</v>
      </c>
      <c r="S81" s="1108">
        <f>R81</f>
        <v>5408.2</v>
      </c>
      <c r="T81" s="995"/>
      <c r="V81" s="2684"/>
    </row>
    <row r="82" spans="1:22">
      <c r="A82" s="1012" t="s">
        <v>16</v>
      </c>
      <c r="B82" s="69" t="s">
        <v>180</v>
      </c>
      <c r="C82" s="68" t="s">
        <v>1063</v>
      </c>
      <c r="D82" s="429"/>
      <c r="E82" s="429"/>
      <c r="F82" s="429"/>
      <c r="G82" s="429"/>
      <c r="H82" s="429"/>
      <c r="I82" s="429"/>
      <c r="J82" s="429"/>
      <c r="K82" s="429"/>
      <c r="L82" s="2730"/>
      <c r="M82" s="3163"/>
      <c r="N82" s="3163"/>
      <c r="O82" s="3163"/>
      <c r="P82" s="3163"/>
      <c r="Q82" s="2736"/>
      <c r="R82" s="1108"/>
      <c r="S82" s="2737"/>
      <c r="T82" s="995"/>
      <c r="V82" s="2684"/>
    </row>
    <row r="83" spans="1:22">
      <c r="A83" s="1012" t="s">
        <v>181</v>
      </c>
      <c r="B83" s="69" t="s">
        <v>182</v>
      </c>
      <c r="C83" s="68" t="s">
        <v>1063</v>
      </c>
      <c r="D83" s="429">
        <v>800</v>
      </c>
      <c r="E83" s="429">
        <v>971.5</v>
      </c>
      <c r="F83" s="429">
        <v>1046.5999999999999</v>
      </c>
      <c r="G83" s="429">
        <v>971.5</v>
      </c>
      <c r="H83" s="429">
        <v>543.4</v>
      </c>
      <c r="I83" s="429">
        <v>1086.8</v>
      </c>
      <c r="J83" s="429">
        <v>1086.8</v>
      </c>
      <c r="K83" s="429">
        <v>1086.8</v>
      </c>
      <c r="L83" s="2730">
        <v>1086.8</v>
      </c>
      <c r="M83" s="3163"/>
      <c r="N83" s="3163"/>
      <c r="O83" s="3163"/>
      <c r="P83" s="3163"/>
      <c r="Q83" s="2736">
        <f>F83</f>
        <v>1046.5999999999999</v>
      </c>
      <c r="R83" s="1108">
        <f>Q83</f>
        <v>1046.5999999999999</v>
      </c>
      <c r="S83" s="1108">
        <f>R83</f>
        <v>1046.5999999999999</v>
      </c>
      <c r="T83" s="995"/>
      <c r="V83" s="2684"/>
    </row>
    <row r="84" spans="1:22" ht="30" hidden="1" customHeight="1">
      <c r="A84" s="1013" t="s">
        <v>18</v>
      </c>
      <c r="B84" s="64" t="s">
        <v>183</v>
      </c>
      <c r="C84" s="65" t="s">
        <v>178</v>
      </c>
      <c r="D84" s="66"/>
      <c r="E84" s="66"/>
      <c r="F84" s="66"/>
      <c r="G84" s="66"/>
      <c r="H84" s="66"/>
      <c r="I84" s="66">
        <f t="shared" ref="I84:I116" si="31">H84*2</f>
        <v>0</v>
      </c>
      <c r="J84" s="66"/>
      <c r="K84" s="66"/>
      <c r="L84" s="2731"/>
      <c r="M84" s="3164"/>
      <c r="N84" s="3164"/>
      <c r="O84" s="3164"/>
      <c r="P84" s="3164"/>
      <c r="Q84" s="2738"/>
      <c r="R84" s="1014"/>
      <c r="S84" s="2739"/>
      <c r="T84" s="995"/>
      <c r="V84" s="2684"/>
    </row>
    <row r="85" spans="1:22" ht="15" hidden="1" customHeight="1">
      <c r="A85" s="1015" t="s">
        <v>20</v>
      </c>
      <c r="B85" s="66" t="s">
        <v>184</v>
      </c>
      <c r="C85" s="65" t="s">
        <v>189</v>
      </c>
      <c r="D85" s="66"/>
      <c r="E85" s="66">
        <f t="shared" ref="E85:S85" si="32">E86+E87+E88+E89+E90</f>
        <v>0</v>
      </c>
      <c r="F85" s="66"/>
      <c r="G85" s="66"/>
      <c r="H85" s="66"/>
      <c r="I85" s="66">
        <f t="shared" si="31"/>
        <v>0</v>
      </c>
      <c r="J85" s="66"/>
      <c r="K85" s="66"/>
      <c r="L85" s="2731"/>
      <c r="M85" s="3164"/>
      <c r="N85" s="3164"/>
      <c r="O85" s="3164"/>
      <c r="P85" s="3164"/>
      <c r="Q85" s="2738"/>
      <c r="R85" s="1014"/>
      <c r="S85" s="2739">
        <f t="shared" si="32"/>
        <v>0</v>
      </c>
      <c r="T85" s="995"/>
      <c r="V85" s="2684"/>
    </row>
    <row r="86" spans="1:22" ht="15" hidden="1" customHeight="1">
      <c r="A86" s="1015" t="s">
        <v>185</v>
      </c>
      <c r="B86" s="66" t="s">
        <v>177</v>
      </c>
      <c r="C86" s="65" t="s">
        <v>189</v>
      </c>
      <c r="D86" s="66"/>
      <c r="E86" s="66"/>
      <c r="F86" s="66"/>
      <c r="G86" s="66"/>
      <c r="H86" s="66"/>
      <c r="I86" s="66">
        <f t="shared" si="31"/>
        <v>0</v>
      </c>
      <c r="J86" s="66"/>
      <c r="K86" s="66"/>
      <c r="L86" s="2731"/>
      <c r="M86" s="3164"/>
      <c r="N86" s="3164"/>
      <c r="O86" s="3164"/>
      <c r="P86" s="3164"/>
      <c r="Q86" s="2738"/>
      <c r="R86" s="1014"/>
      <c r="S86" s="2739"/>
      <c r="T86" s="995"/>
      <c r="V86" s="2684"/>
    </row>
    <row r="87" spans="1:22" ht="15" hidden="1" customHeight="1">
      <c r="A87" s="1015" t="s">
        <v>186</v>
      </c>
      <c r="B87" s="66" t="s">
        <v>179</v>
      </c>
      <c r="C87" s="65" t="s">
        <v>189</v>
      </c>
      <c r="D87" s="66"/>
      <c r="E87" s="66"/>
      <c r="F87" s="66"/>
      <c r="G87" s="66"/>
      <c r="H87" s="66"/>
      <c r="I87" s="66">
        <f t="shared" si="31"/>
        <v>0</v>
      </c>
      <c r="J87" s="66"/>
      <c r="K87" s="66"/>
      <c r="L87" s="2731"/>
      <c r="M87" s="3164"/>
      <c r="N87" s="3164"/>
      <c r="O87" s="3164"/>
      <c r="P87" s="3164"/>
      <c r="Q87" s="2738"/>
      <c r="R87" s="1014"/>
      <c r="S87" s="2739"/>
      <c r="T87" s="995"/>
      <c r="V87" s="2684"/>
    </row>
    <row r="88" spans="1:22" ht="15" hidden="1" customHeight="1">
      <c r="A88" s="1015" t="s">
        <v>187</v>
      </c>
      <c r="B88" s="66" t="s">
        <v>180</v>
      </c>
      <c r="C88" s="65" t="s">
        <v>189</v>
      </c>
      <c r="D88" s="66"/>
      <c r="E88" s="66"/>
      <c r="F88" s="66"/>
      <c r="G88" s="66"/>
      <c r="H88" s="66"/>
      <c r="I88" s="66">
        <f t="shared" si="31"/>
        <v>0</v>
      </c>
      <c r="J88" s="66"/>
      <c r="K88" s="66"/>
      <c r="L88" s="2731"/>
      <c r="M88" s="3164"/>
      <c r="N88" s="3164"/>
      <c r="O88" s="3164"/>
      <c r="P88" s="3164"/>
      <c r="Q88" s="2738"/>
      <c r="R88" s="1014"/>
      <c r="S88" s="2739"/>
      <c r="T88" s="995"/>
      <c r="V88" s="2684"/>
    </row>
    <row r="89" spans="1:22" ht="15" hidden="1" customHeight="1">
      <c r="A89" s="1015" t="s">
        <v>228</v>
      </c>
      <c r="B89" s="66" t="s">
        <v>182</v>
      </c>
      <c r="C89" s="65" t="s">
        <v>189</v>
      </c>
      <c r="D89" s="66"/>
      <c r="E89" s="66"/>
      <c r="F89" s="66"/>
      <c r="G89" s="66"/>
      <c r="H89" s="66"/>
      <c r="I89" s="66">
        <f t="shared" si="31"/>
        <v>0</v>
      </c>
      <c r="J89" s="66"/>
      <c r="K89" s="66"/>
      <c r="L89" s="2731"/>
      <c r="M89" s="3164"/>
      <c r="N89" s="3164"/>
      <c r="O89" s="3164"/>
      <c r="P89" s="3164"/>
      <c r="Q89" s="2738"/>
      <c r="R89" s="1014"/>
      <c r="S89" s="2739"/>
      <c r="T89" s="995"/>
      <c r="V89" s="2684"/>
    </row>
    <row r="90" spans="1:22" ht="15" hidden="1" customHeight="1">
      <c r="A90" s="1015" t="s">
        <v>229</v>
      </c>
      <c r="B90" s="66" t="s">
        <v>188</v>
      </c>
      <c r="C90" s="65" t="s">
        <v>189</v>
      </c>
      <c r="D90" s="66"/>
      <c r="E90" s="66"/>
      <c r="F90" s="66"/>
      <c r="G90" s="66"/>
      <c r="H90" s="66"/>
      <c r="I90" s="66">
        <f t="shared" si="31"/>
        <v>0</v>
      </c>
      <c r="J90" s="66"/>
      <c r="K90" s="66"/>
      <c r="L90" s="2731"/>
      <c r="M90" s="3164"/>
      <c r="N90" s="3164"/>
      <c r="O90" s="3164"/>
      <c r="P90" s="3164"/>
      <c r="Q90" s="2738"/>
      <c r="R90" s="1014"/>
      <c r="S90" s="2739"/>
      <c r="T90" s="995"/>
      <c r="V90" s="2684"/>
    </row>
    <row r="91" spans="1:22" ht="15" hidden="1" customHeight="1">
      <c r="A91" s="1016" t="s">
        <v>24</v>
      </c>
      <c r="B91" s="70" t="s">
        <v>190</v>
      </c>
      <c r="C91" s="71" t="s">
        <v>178</v>
      </c>
      <c r="D91" s="70"/>
      <c r="E91" s="70">
        <f t="shared" ref="E91:S91" si="33">E92+E93+E94+E95+E96</f>
        <v>0</v>
      </c>
      <c r="F91" s="70"/>
      <c r="G91" s="70"/>
      <c r="H91" s="70"/>
      <c r="I91" s="70">
        <f t="shared" si="31"/>
        <v>0</v>
      </c>
      <c r="J91" s="70"/>
      <c r="K91" s="70"/>
      <c r="L91" s="2732"/>
      <c r="M91" s="3165"/>
      <c r="N91" s="3165"/>
      <c r="O91" s="3165"/>
      <c r="P91" s="3165"/>
      <c r="Q91" s="2740"/>
      <c r="R91" s="1017"/>
      <c r="S91" s="2741">
        <f t="shared" si="33"/>
        <v>0</v>
      </c>
      <c r="T91" s="995"/>
      <c r="V91" s="2684"/>
    </row>
    <row r="92" spans="1:22" ht="15" hidden="1" customHeight="1">
      <c r="A92" s="1016" t="s">
        <v>191</v>
      </c>
      <c r="B92" s="70" t="s">
        <v>177</v>
      </c>
      <c r="C92" s="71" t="s">
        <v>178</v>
      </c>
      <c r="D92" s="70"/>
      <c r="E92" s="70"/>
      <c r="F92" s="70"/>
      <c r="G92" s="70"/>
      <c r="H92" s="70"/>
      <c r="I92" s="70">
        <f t="shared" si="31"/>
        <v>0</v>
      </c>
      <c r="J92" s="70"/>
      <c r="K92" s="70"/>
      <c r="L92" s="2732"/>
      <c r="M92" s="3165"/>
      <c r="N92" s="3165"/>
      <c r="O92" s="3165"/>
      <c r="P92" s="3165"/>
      <c r="Q92" s="2740"/>
      <c r="R92" s="1017"/>
      <c r="S92" s="2741"/>
      <c r="T92" s="995"/>
      <c r="V92" s="2684"/>
    </row>
    <row r="93" spans="1:22" ht="15" hidden="1" customHeight="1">
      <c r="A93" s="1016" t="s">
        <v>192</v>
      </c>
      <c r="B93" s="70" t="s">
        <v>179</v>
      </c>
      <c r="C93" s="71" t="s">
        <v>178</v>
      </c>
      <c r="D93" s="70"/>
      <c r="E93" s="70"/>
      <c r="F93" s="70"/>
      <c r="G93" s="70"/>
      <c r="H93" s="70"/>
      <c r="I93" s="70">
        <f t="shared" si="31"/>
        <v>0</v>
      </c>
      <c r="J93" s="70"/>
      <c r="K93" s="70"/>
      <c r="L93" s="2732"/>
      <c r="M93" s="3165"/>
      <c r="N93" s="3165"/>
      <c r="O93" s="3165"/>
      <c r="P93" s="3165"/>
      <c r="Q93" s="2740"/>
      <c r="R93" s="1017"/>
      <c r="S93" s="2741"/>
      <c r="T93" s="995"/>
      <c r="V93" s="2684"/>
    </row>
    <row r="94" spans="1:22" ht="15" hidden="1" customHeight="1">
      <c r="A94" s="1016" t="s">
        <v>193</v>
      </c>
      <c r="B94" s="70" t="s">
        <v>180</v>
      </c>
      <c r="C94" s="71" t="s">
        <v>178</v>
      </c>
      <c r="D94" s="70"/>
      <c r="E94" s="70"/>
      <c r="F94" s="70"/>
      <c r="G94" s="70"/>
      <c r="H94" s="70"/>
      <c r="I94" s="70">
        <f t="shared" si="31"/>
        <v>0</v>
      </c>
      <c r="J94" s="70"/>
      <c r="K94" s="70"/>
      <c r="L94" s="2732"/>
      <c r="M94" s="3165"/>
      <c r="N94" s="3165"/>
      <c r="O94" s="3165"/>
      <c r="P94" s="3165"/>
      <c r="Q94" s="2740"/>
      <c r="R94" s="1017"/>
      <c r="S94" s="2741"/>
      <c r="T94" s="995"/>
      <c r="V94" s="2684"/>
    </row>
    <row r="95" spans="1:22" ht="15" hidden="1" customHeight="1">
      <c r="A95" s="1016" t="s">
        <v>194</v>
      </c>
      <c r="B95" s="70" t="s">
        <v>182</v>
      </c>
      <c r="C95" s="71" t="s">
        <v>178</v>
      </c>
      <c r="D95" s="70"/>
      <c r="E95" s="70"/>
      <c r="F95" s="70"/>
      <c r="G95" s="70"/>
      <c r="H95" s="70"/>
      <c r="I95" s="70">
        <f t="shared" si="31"/>
        <v>0</v>
      </c>
      <c r="J95" s="70"/>
      <c r="K95" s="70"/>
      <c r="L95" s="2732"/>
      <c r="M95" s="3165"/>
      <c r="N95" s="3165"/>
      <c r="O95" s="3165"/>
      <c r="P95" s="3165"/>
      <c r="Q95" s="2740"/>
      <c r="R95" s="1017"/>
      <c r="S95" s="2741"/>
      <c r="T95" s="995"/>
      <c r="V95" s="2684"/>
    </row>
    <row r="96" spans="1:22" ht="15" hidden="1" customHeight="1">
      <c r="A96" s="1016" t="s">
        <v>195</v>
      </c>
      <c r="B96" s="70" t="s">
        <v>188</v>
      </c>
      <c r="C96" s="71" t="s">
        <v>189</v>
      </c>
      <c r="D96" s="70"/>
      <c r="E96" s="70"/>
      <c r="F96" s="70"/>
      <c r="G96" s="70"/>
      <c r="H96" s="70"/>
      <c r="I96" s="70">
        <f t="shared" si="31"/>
        <v>0</v>
      </c>
      <c r="J96" s="70"/>
      <c r="K96" s="70"/>
      <c r="L96" s="2732"/>
      <c r="M96" s="3165"/>
      <c r="N96" s="3165"/>
      <c r="O96" s="3165"/>
      <c r="P96" s="3165"/>
      <c r="Q96" s="2740"/>
      <c r="R96" s="1017"/>
      <c r="S96" s="2741"/>
      <c r="T96" s="995"/>
      <c r="V96" s="2684"/>
    </row>
    <row r="97" spans="1:22" ht="27.75" customHeight="1">
      <c r="A97" s="1018" t="s">
        <v>50</v>
      </c>
      <c r="B97" s="82" t="s">
        <v>196</v>
      </c>
      <c r="C97" s="83"/>
      <c r="D97" s="84"/>
      <c r="E97" s="84"/>
      <c r="F97" s="84"/>
      <c r="G97" s="84"/>
      <c r="H97" s="84"/>
      <c r="I97" s="84"/>
      <c r="J97" s="84"/>
      <c r="K97" s="84"/>
      <c r="L97" s="2733"/>
      <c r="M97" s="3166"/>
      <c r="N97" s="3166"/>
      <c r="O97" s="3166"/>
      <c r="P97" s="3166"/>
      <c r="Q97" s="2549"/>
      <c r="R97" s="1019"/>
      <c r="S97" s="1549"/>
      <c r="T97" s="995"/>
      <c r="V97" s="2684"/>
    </row>
    <row r="98" spans="1:22">
      <c r="A98" s="1020" t="s">
        <v>197</v>
      </c>
      <c r="B98" s="84" t="s">
        <v>177</v>
      </c>
      <c r="C98" s="89" t="s">
        <v>198</v>
      </c>
      <c r="D98" s="425">
        <f>(3116.9+772.1)*0.82/D80</f>
        <v>3.6297557610925075</v>
      </c>
      <c r="E98" s="425">
        <v>3.847</v>
      </c>
      <c r="F98" s="425">
        <v>4.2446252634188673</v>
      </c>
      <c r="G98" s="425">
        <v>3.8540000000000001</v>
      </c>
      <c r="H98" s="425">
        <f>1477/372.85</f>
        <v>3.9613785704706985</v>
      </c>
      <c r="I98" s="425">
        <f>3170.9/I80</f>
        <v>4.2728742757040834</v>
      </c>
      <c r="J98" s="425">
        <f>3408.063/J80</f>
        <v>4.5844269572235676</v>
      </c>
      <c r="K98" s="425">
        <f>3588.69/K80</f>
        <v>4.8274011299435031</v>
      </c>
      <c r="L98" s="2734">
        <f>3788.89/L80</f>
        <v>5.0967043314500939</v>
      </c>
      <c r="M98" s="3167"/>
      <c r="N98" s="3167"/>
      <c r="O98" s="3167"/>
      <c r="P98" s="3167"/>
      <c r="Q98" s="2742">
        <f>F98*1.078</f>
        <v>4.5757060339655391</v>
      </c>
      <c r="R98" s="1021">
        <f>Q98*1.066</f>
        <v>4.8777026322072645</v>
      </c>
      <c r="S98" s="1021">
        <f>R98*1.067</f>
        <v>5.2045087085651511</v>
      </c>
      <c r="T98" s="995"/>
      <c r="V98" s="2684"/>
    </row>
    <row r="99" spans="1:22">
      <c r="A99" s="1020" t="s">
        <v>199</v>
      </c>
      <c r="B99" s="84" t="s">
        <v>179</v>
      </c>
      <c r="C99" s="89" t="s">
        <v>198</v>
      </c>
      <c r="D99" s="425">
        <f>(14678+393.2)*0.89/D81</f>
        <v>2.608640385849589</v>
      </c>
      <c r="E99" s="425">
        <v>2.8109999999999999</v>
      </c>
      <c r="F99" s="425">
        <v>3.1201334570957098</v>
      </c>
      <c r="G99" s="425">
        <v>2.8256999999999999</v>
      </c>
      <c r="H99" s="425">
        <f>9220.4/3239.3</f>
        <v>2.846417435865773</v>
      </c>
      <c r="I99" s="425">
        <f>19988.6/I81</f>
        <v>3.1152359578579887</v>
      </c>
      <c r="J99" s="425">
        <f>21417.516/J81</f>
        <v>3.3333098843633757</v>
      </c>
      <c r="K99" s="425">
        <f>22552.644/K81</f>
        <v>3.5099752540737397</v>
      </c>
      <c r="L99" s="2734">
        <f>23747.934/L81</f>
        <v>3.6960039219958603</v>
      </c>
      <c r="M99" s="3167"/>
      <c r="N99" s="3167"/>
      <c r="O99" s="3167"/>
      <c r="P99" s="3167"/>
      <c r="Q99" s="2742">
        <f>I99*1.078</f>
        <v>3.3582243625709118</v>
      </c>
      <c r="R99" s="1021">
        <f>Q99*1.066</f>
        <v>3.579867170500592</v>
      </c>
      <c r="S99" s="2743">
        <f>R99*1.067</f>
        <v>3.8197182709241315</v>
      </c>
      <c r="T99" s="995"/>
      <c r="V99" s="2684"/>
    </row>
    <row r="100" spans="1:22">
      <c r="A100" s="1020" t="s">
        <v>200</v>
      </c>
      <c r="B100" s="84" t="s">
        <v>180</v>
      </c>
      <c r="C100" s="89" t="s">
        <v>198</v>
      </c>
      <c r="D100" s="425"/>
      <c r="E100" s="425"/>
      <c r="F100" s="425"/>
      <c r="G100" s="425"/>
      <c r="H100" s="425"/>
      <c r="I100" s="425"/>
      <c r="J100" s="425"/>
      <c r="K100" s="425"/>
      <c r="L100" s="2734"/>
      <c r="M100" s="3167"/>
      <c r="N100" s="3167"/>
      <c r="O100" s="3167"/>
      <c r="P100" s="3167"/>
      <c r="Q100" s="2742"/>
      <c r="R100" s="1021"/>
      <c r="S100" s="2743"/>
      <c r="T100" s="995"/>
      <c r="V100" s="2684"/>
    </row>
    <row r="101" spans="1:22">
      <c r="A101" s="1020" t="s">
        <v>201</v>
      </c>
      <c r="B101" s="84" t="s">
        <v>182</v>
      </c>
      <c r="C101" s="89" t="s">
        <v>198</v>
      </c>
      <c r="D101" s="425">
        <f>2946.5/D83</f>
        <v>3.683125</v>
      </c>
      <c r="E101" s="425">
        <f>2341.9/E83</f>
        <v>2.4106021616057642</v>
      </c>
      <c r="F101" s="425">
        <v>2.655520351614753</v>
      </c>
      <c r="G101" s="425">
        <v>2.4106999999999998</v>
      </c>
      <c r="H101" s="425">
        <f>1342.4/543.4</f>
        <v>2.4703717335296287</v>
      </c>
      <c r="I101" s="425">
        <f>2934.6/I83</f>
        <v>2.7002208317997791</v>
      </c>
      <c r="J101" s="425">
        <f>3148.826/J83</f>
        <v>2.8973371365476628</v>
      </c>
      <c r="K101" s="425">
        <f>3315.714/K83</f>
        <v>3.0508962090541041</v>
      </c>
      <c r="L101" s="2734">
        <f>3491.446/L83</f>
        <v>3.2125929333824073</v>
      </c>
      <c r="M101" s="3167"/>
      <c r="N101" s="3167"/>
      <c r="O101" s="3167"/>
      <c r="P101" s="3167"/>
      <c r="Q101" s="2742">
        <f>F101*1.078</f>
        <v>2.8626509390407038</v>
      </c>
      <c r="R101" s="1021">
        <f>Q101*1.066</f>
        <v>3.0515859010173902</v>
      </c>
      <c r="S101" s="2743">
        <f>R101*1.067</f>
        <v>3.2560421563855551</v>
      </c>
      <c r="T101" s="995"/>
      <c r="V101" s="2684"/>
    </row>
    <row r="102" spans="1:22" ht="30" hidden="1" customHeight="1">
      <c r="A102" s="1022" t="s">
        <v>202</v>
      </c>
      <c r="B102" s="83" t="s">
        <v>227</v>
      </c>
      <c r="C102" s="89" t="s">
        <v>198</v>
      </c>
      <c r="D102" s="84"/>
      <c r="E102" s="84"/>
      <c r="F102" s="84"/>
      <c r="G102" s="84"/>
      <c r="H102" s="84"/>
      <c r="I102" s="84">
        <f t="shared" si="31"/>
        <v>0</v>
      </c>
      <c r="J102" s="84"/>
      <c r="K102" s="84"/>
      <c r="L102" s="2733"/>
      <c r="M102" s="3166"/>
      <c r="N102" s="3166"/>
      <c r="O102" s="3166"/>
      <c r="P102" s="3166"/>
      <c r="Q102" s="2549"/>
      <c r="R102" s="1019"/>
      <c r="S102" s="1549"/>
      <c r="T102" s="995"/>
      <c r="V102" s="2684"/>
    </row>
    <row r="103" spans="1:22" ht="30" hidden="1" customHeight="1">
      <c r="A103" s="1022" t="s">
        <v>203</v>
      </c>
      <c r="B103" s="83" t="s">
        <v>204</v>
      </c>
      <c r="C103" s="89" t="s">
        <v>198</v>
      </c>
      <c r="D103" s="84"/>
      <c r="E103" s="84"/>
      <c r="F103" s="84"/>
      <c r="G103" s="84"/>
      <c r="H103" s="84"/>
      <c r="I103" s="84">
        <f t="shared" si="31"/>
        <v>0</v>
      </c>
      <c r="J103" s="84"/>
      <c r="K103" s="84"/>
      <c r="L103" s="2733"/>
      <c r="M103" s="3166"/>
      <c r="N103" s="3166"/>
      <c r="O103" s="3166"/>
      <c r="P103" s="3166"/>
      <c r="Q103" s="2549"/>
      <c r="R103" s="1019"/>
      <c r="S103" s="1549"/>
      <c r="T103" s="995"/>
      <c r="V103" s="2684"/>
    </row>
    <row r="104" spans="1:22" ht="15" hidden="1" customHeight="1">
      <c r="A104" s="1023" t="s">
        <v>54</v>
      </c>
      <c r="B104" s="40" t="s">
        <v>205</v>
      </c>
      <c r="C104" s="90"/>
      <c r="D104" s="40"/>
      <c r="E104" s="40"/>
      <c r="F104" s="40"/>
      <c r="G104" s="40"/>
      <c r="H104" s="40"/>
      <c r="I104" s="40">
        <f t="shared" si="31"/>
        <v>0</v>
      </c>
      <c r="J104" s="40"/>
      <c r="K104" s="40"/>
      <c r="L104" s="52"/>
      <c r="M104" s="3144"/>
      <c r="N104" s="3144"/>
      <c r="O104" s="3144"/>
      <c r="P104" s="3144"/>
      <c r="Q104" s="2652"/>
      <c r="R104" s="997"/>
      <c r="S104" s="2697"/>
      <c r="T104" s="995"/>
      <c r="V104" s="2684"/>
    </row>
    <row r="105" spans="1:22" ht="30" hidden="1" customHeight="1">
      <c r="A105" s="1024" t="s">
        <v>206</v>
      </c>
      <c r="B105" s="73" t="s">
        <v>207</v>
      </c>
      <c r="C105" s="91" t="s">
        <v>208</v>
      </c>
      <c r="D105" s="40"/>
      <c r="E105" s="40"/>
      <c r="F105" s="40"/>
      <c r="G105" s="40"/>
      <c r="H105" s="40"/>
      <c r="I105" s="40">
        <f t="shared" si="31"/>
        <v>0</v>
      </c>
      <c r="J105" s="40"/>
      <c r="K105" s="40"/>
      <c r="L105" s="52"/>
      <c r="M105" s="3144"/>
      <c r="N105" s="3144"/>
      <c r="O105" s="3144"/>
      <c r="P105" s="3144"/>
      <c r="Q105" s="2652"/>
      <c r="R105" s="997"/>
      <c r="S105" s="2697"/>
      <c r="T105" s="995"/>
      <c r="V105" s="2684"/>
    </row>
    <row r="106" spans="1:22" ht="30" hidden="1" customHeight="1">
      <c r="A106" s="1025" t="s">
        <v>209</v>
      </c>
      <c r="B106" s="73" t="s">
        <v>177</v>
      </c>
      <c r="C106" s="91" t="s">
        <v>208</v>
      </c>
      <c r="D106" s="40"/>
      <c r="E106" s="40"/>
      <c r="F106" s="40"/>
      <c r="G106" s="40"/>
      <c r="H106" s="40"/>
      <c r="I106" s="40">
        <f t="shared" si="31"/>
        <v>0</v>
      </c>
      <c r="J106" s="40"/>
      <c r="K106" s="40"/>
      <c r="L106" s="52"/>
      <c r="M106" s="3144"/>
      <c r="N106" s="3144"/>
      <c r="O106" s="3144"/>
      <c r="P106" s="3144"/>
      <c r="Q106" s="2652"/>
      <c r="R106" s="997"/>
      <c r="S106" s="2697"/>
      <c r="T106" s="995"/>
      <c r="V106" s="2684"/>
    </row>
    <row r="107" spans="1:22" ht="30" hidden="1" customHeight="1">
      <c r="A107" s="1025" t="s">
        <v>210</v>
      </c>
      <c r="B107" s="73" t="s">
        <v>179</v>
      </c>
      <c r="C107" s="91" t="s">
        <v>208</v>
      </c>
      <c r="D107" s="40"/>
      <c r="E107" s="40"/>
      <c r="F107" s="40"/>
      <c r="G107" s="40"/>
      <c r="H107" s="40"/>
      <c r="I107" s="40">
        <f t="shared" si="31"/>
        <v>0</v>
      </c>
      <c r="J107" s="40"/>
      <c r="K107" s="40"/>
      <c r="L107" s="52"/>
      <c r="M107" s="3144"/>
      <c r="N107" s="3144"/>
      <c r="O107" s="3144"/>
      <c r="P107" s="3144"/>
      <c r="Q107" s="2652"/>
      <c r="R107" s="997"/>
      <c r="S107" s="2697"/>
      <c r="T107" s="995"/>
      <c r="V107" s="2684"/>
    </row>
    <row r="108" spans="1:22" ht="30" hidden="1" customHeight="1">
      <c r="A108" s="1025" t="s">
        <v>211</v>
      </c>
      <c r="B108" s="73" t="s">
        <v>180</v>
      </c>
      <c r="C108" s="91" t="s">
        <v>208</v>
      </c>
      <c r="D108" s="40"/>
      <c r="E108" s="40"/>
      <c r="F108" s="40"/>
      <c r="G108" s="40"/>
      <c r="H108" s="40"/>
      <c r="I108" s="40">
        <f t="shared" si="31"/>
        <v>0</v>
      </c>
      <c r="J108" s="40"/>
      <c r="K108" s="40"/>
      <c r="L108" s="52"/>
      <c r="M108" s="3144"/>
      <c r="N108" s="3144"/>
      <c r="O108" s="3144"/>
      <c r="P108" s="3144"/>
      <c r="Q108" s="2652"/>
      <c r="R108" s="997"/>
      <c r="S108" s="2697"/>
      <c r="T108" s="995"/>
      <c r="V108" s="2684"/>
    </row>
    <row r="109" spans="1:22" ht="30" hidden="1" customHeight="1">
      <c r="A109" s="1025" t="s">
        <v>212</v>
      </c>
      <c r="B109" s="73" t="s">
        <v>182</v>
      </c>
      <c r="C109" s="91" t="s">
        <v>208</v>
      </c>
      <c r="D109" s="40"/>
      <c r="E109" s="40"/>
      <c r="F109" s="40"/>
      <c r="G109" s="40"/>
      <c r="H109" s="40"/>
      <c r="I109" s="40">
        <f t="shared" si="31"/>
        <v>0</v>
      </c>
      <c r="J109" s="40"/>
      <c r="K109" s="40"/>
      <c r="L109" s="52"/>
      <c r="M109" s="3144"/>
      <c r="N109" s="3144"/>
      <c r="O109" s="3144"/>
      <c r="P109" s="3144"/>
      <c r="Q109" s="2652"/>
      <c r="R109" s="997"/>
      <c r="S109" s="2697"/>
      <c r="T109" s="995"/>
      <c r="V109" s="2684"/>
    </row>
    <row r="110" spans="1:22" ht="30" hidden="1" customHeight="1">
      <c r="A110" s="1025" t="s">
        <v>213</v>
      </c>
      <c r="B110" s="73" t="s">
        <v>188</v>
      </c>
      <c r="C110" s="91" t="s">
        <v>208</v>
      </c>
      <c r="D110" s="40"/>
      <c r="E110" s="40"/>
      <c r="F110" s="40"/>
      <c r="G110" s="40"/>
      <c r="H110" s="40"/>
      <c r="I110" s="40">
        <f t="shared" si="31"/>
        <v>0</v>
      </c>
      <c r="J110" s="40"/>
      <c r="K110" s="40"/>
      <c r="L110" s="52"/>
      <c r="M110" s="3144"/>
      <c r="N110" s="3144"/>
      <c r="O110" s="3144"/>
      <c r="P110" s="3144"/>
      <c r="Q110" s="2652"/>
      <c r="R110" s="997"/>
      <c r="S110" s="2697"/>
      <c r="T110" s="995"/>
      <c r="V110" s="2684"/>
    </row>
    <row r="111" spans="1:22" ht="30" hidden="1" customHeight="1">
      <c r="A111" s="1026" t="s">
        <v>214</v>
      </c>
      <c r="B111" s="73" t="s">
        <v>215</v>
      </c>
      <c r="C111" s="91" t="s">
        <v>208</v>
      </c>
      <c r="D111" s="40"/>
      <c r="E111" s="40">
        <f t="shared" ref="E111:S111" si="34">E112+E113+E114+E115+E116</f>
        <v>0</v>
      </c>
      <c r="F111" s="40"/>
      <c r="G111" s="40"/>
      <c r="H111" s="40"/>
      <c r="I111" s="40">
        <f t="shared" si="31"/>
        <v>0</v>
      </c>
      <c r="J111" s="40"/>
      <c r="K111" s="40"/>
      <c r="L111" s="52"/>
      <c r="M111" s="3144"/>
      <c r="N111" s="3144"/>
      <c r="O111" s="3144"/>
      <c r="P111" s="3144"/>
      <c r="Q111" s="2652"/>
      <c r="R111" s="997"/>
      <c r="S111" s="2697">
        <f t="shared" si="34"/>
        <v>0</v>
      </c>
      <c r="T111" s="995"/>
      <c r="V111" s="2684"/>
    </row>
    <row r="112" spans="1:22" ht="30" hidden="1" customHeight="1">
      <c r="A112" s="1025" t="s">
        <v>216</v>
      </c>
      <c r="B112" s="73" t="s">
        <v>177</v>
      </c>
      <c r="C112" s="91" t="s">
        <v>208</v>
      </c>
      <c r="D112" s="40"/>
      <c r="E112" s="40">
        <f t="shared" ref="E112:S113" si="35">E92*E106</f>
        <v>0</v>
      </c>
      <c r="F112" s="40"/>
      <c r="G112" s="40"/>
      <c r="H112" s="40"/>
      <c r="I112" s="40">
        <f t="shared" si="31"/>
        <v>0</v>
      </c>
      <c r="J112" s="40"/>
      <c r="K112" s="40"/>
      <c r="L112" s="52"/>
      <c r="M112" s="3144"/>
      <c r="N112" s="3144"/>
      <c r="O112" s="3144"/>
      <c r="P112" s="3144"/>
      <c r="Q112" s="2652"/>
      <c r="R112" s="997"/>
      <c r="S112" s="2697">
        <f t="shared" si="35"/>
        <v>0</v>
      </c>
      <c r="T112" s="995"/>
      <c r="V112" s="2684"/>
    </row>
    <row r="113" spans="1:23" ht="30" hidden="1" customHeight="1">
      <c r="A113" s="1025" t="s">
        <v>217</v>
      </c>
      <c r="B113" s="73" t="s">
        <v>179</v>
      </c>
      <c r="C113" s="91" t="s">
        <v>208</v>
      </c>
      <c r="D113" s="40"/>
      <c r="E113" s="40">
        <f t="shared" si="35"/>
        <v>0</v>
      </c>
      <c r="F113" s="40"/>
      <c r="G113" s="40"/>
      <c r="H113" s="40"/>
      <c r="I113" s="40">
        <f t="shared" si="31"/>
        <v>0</v>
      </c>
      <c r="J113" s="40"/>
      <c r="K113" s="40"/>
      <c r="L113" s="52"/>
      <c r="M113" s="3144"/>
      <c r="N113" s="3144"/>
      <c r="O113" s="3144"/>
      <c r="P113" s="3144"/>
      <c r="Q113" s="2652"/>
      <c r="R113" s="997"/>
      <c r="S113" s="2697">
        <f t="shared" si="35"/>
        <v>0</v>
      </c>
      <c r="T113" s="995"/>
      <c r="V113" s="2684"/>
    </row>
    <row r="114" spans="1:23" ht="30" hidden="1" customHeight="1">
      <c r="A114" s="1025" t="s">
        <v>218</v>
      </c>
      <c r="B114" s="73" t="s">
        <v>180</v>
      </c>
      <c r="C114" s="91" t="s">
        <v>208</v>
      </c>
      <c r="D114" s="40"/>
      <c r="E114" s="40"/>
      <c r="F114" s="40"/>
      <c r="G114" s="40"/>
      <c r="H114" s="40"/>
      <c r="I114" s="40">
        <f t="shared" si="31"/>
        <v>0</v>
      </c>
      <c r="J114" s="40"/>
      <c r="K114" s="40"/>
      <c r="L114" s="52"/>
      <c r="M114" s="3144"/>
      <c r="N114" s="3144"/>
      <c r="O114" s="3144"/>
      <c r="P114" s="3144"/>
      <c r="Q114" s="2652"/>
      <c r="R114" s="997"/>
      <c r="S114" s="2697"/>
      <c r="T114" s="995"/>
      <c r="V114" s="2684"/>
    </row>
    <row r="115" spans="1:23" ht="30" hidden="1" customHeight="1">
      <c r="A115" s="1025" t="s">
        <v>219</v>
      </c>
      <c r="B115" s="73" t="s">
        <v>182</v>
      </c>
      <c r="C115" s="91" t="s">
        <v>208</v>
      </c>
      <c r="D115" s="40"/>
      <c r="E115" s="40"/>
      <c r="F115" s="40"/>
      <c r="G115" s="40"/>
      <c r="H115" s="40"/>
      <c r="I115" s="40">
        <f t="shared" si="31"/>
        <v>0</v>
      </c>
      <c r="J115" s="40"/>
      <c r="K115" s="40"/>
      <c r="L115" s="52"/>
      <c r="M115" s="3144"/>
      <c r="N115" s="3144"/>
      <c r="O115" s="3144"/>
      <c r="P115" s="3144"/>
      <c r="Q115" s="2652"/>
      <c r="R115" s="997"/>
      <c r="S115" s="2697"/>
      <c r="T115" s="995"/>
      <c r="V115" s="2684"/>
    </row>
    <row r="116" spans="1:23" ht="30" hidden="1" customHeight="1">
      <c r="A116" s="1025" t="s">
        <v>220</v>
      </c>
      <c r="B116" s="73" t="s">
        <v>188</v>
      </c>
      <c r="C116" s="91" t="s">
        <v>208</v>
      </c>
      <c r="D116" s="40"/>
      <c r="E116" s="40"/>
      <c r="F116" s="40"/>
      <c r="G116" s="40"/>
      <c r="H116" s="40"/>
      <c r="I116" s="40">
        <f t="shared" si="31"/>
        <v>0</v>
      </c>
      <c r="J116" s="40"/>
      <c r="K116" s="40"/>
      <c r="L116" s="52"/>
      <c r="M116" s="3144"/>
      <c r="N116" s="3144"/>
      <c r="O116" s="3144"/>
      <c r="P116" s="3144"/>
      <c r="Q116" s="2652"/>
      <c r="R116" s="997"/>
      <c r="S116" s="2697"/>
      <c r="T116" s="995"/>
      <c r="V116" s="2684"/>
    </row>
    <row r="117" spans="1:23">
      <c r="A117" s="999" t="s">
        <v>62</v>
      </c>
      <c r="B117" s="74" t="s">
        <v>222</v>
      </c>
      <c r="C117" s="63" t="s">
        <v>11</v>
      </c>
      <c r="D117" s="408">
        <f>((D80*D98)+(D81*D99)+(D82*D100)+(D83*D101))-90.3</f>
        <v>19458.548000000003</v>
      </c>
      <c r="E117" s="408">
        <f>((E80*E98)+(E81*E99)+(E82*E100)+(E83*E101))</f>
        <v>20358.698700000001</v>
      </c>
      <c r="F117" s="408">
        <f>((F80*F98)+(F81*F99)+(F82*F100)+(F83*F101))</f>
        <v>22882.459800547746</v>
      </c>
      <c r="G117" s="408">
        <f>((G80*G98)+(G81*G99)+(G82*G100)+(G83*G101))+0.3</f>
        <v>21048.319950000001</v>
      </c>
      <c r="H117" s="408">
        <f>((H80*H98)+(H81*H99)+(H82*H100)+(H83*H101))</f>
        <v>12039.8</v>
      </c>
      <c r="I117" s="408">
        <f>((I80*I98)+(I81*I99)+(I82*I100)+(I83*I101))</f>
        <v>26094.1</v>
      </c>
      <c r="J117" s="408">
        <f t="shared" ref="J117:S117" si="36">((J80*J98)+(J81*J99)+(J82*J100)+(J83*J101))</f>
        <v>27974.404999999999</v>
      </c>
      <c r="K117" s="408">
        <f t="shared" si="36"/>
        <v>29457.047999999999</v>
      </c>
      <c r="L117" s="1293">
        <f t="shared" si="36"/>
        <v>31028.27</v>
      </c>
      <c r="M117" s="3158"/>
      <c r="N117" s="3158"/>
      <c r="O117" s="3158"/>
      <c r="P117" s="3158"/>
      <c r="Q117" s="2646">
        <f t="shared" si="36"/>
        <v>24559.579336105988</v>
      </c>
      <c r="R117" s="408">
        <f t="shared" si="36"/>
        <v>26180.511572288982</v>
      </c>
      <c r="S117" s="1027">
        <f t="shared" si="36"/>
        <v>27934.605847632338</v>
      </c>
      <c r="T117" s="995"/>
      <c r="V117" s="2422"/>
    </row>
    <row r="118" spans="1:23">
      <c r="A118" s="999" t="s">
        <v>99</v>
      </c>
      <c r="B118" s="74" t="s">
        <v>223</v>
      </c>
      <c r="C118" s="63" t="s">
        <v>11</v>
      </c>
      <c r="D118" s="408"/>
      <c r="E118" s="408"/>
      <c r="F118" s="408"/>
      <c r="G118" s="408"/>
      <c r="H118" s="408"/>
      <c r="I118" s="408"/>
      <c r="J118" s="408"/>
      <c r="K118" s="408"/>
      <c r="L118" s="1293"/>
      <c r="M118" s="3158"/>
      <c r="N118" s="3158"/>
      <c r="O118" s="3158"/>
      <c r="P118" s="3158"/>
      <c r="Q118" s="2646"/>
      <c r="R118" s="1027"/>
      <c r="S118" s="1027"/>
      <c r="T118" s="995"/>
      <c r="V118" s="2684"/>
    </row>
    <row r="119" spans="1:23" ht="30">
      <c r="A119" s="1028" t="s">
        <v>221</v>
      </c>
      <c r="B119" s="72" t="s">
        <v>224</v>
      </c>
      <c r="C119" s="85" t="s">
        <v>11</v>
      </c>
      <c r="D119" s="426">
        <f t="shared" ref="D119:S119" si="37">D117+D118</f>
        <v>19458.548000000003</v>
      </c>
      <c r="E119" s="426">
        <f t="shared" si="37"/>
        <v>20358.698700000001</v>
      </c>
      <c r="F119" s="426">
        <v>22882.459800547746</v>
      </c>
      <c r="G119" s="426">
        <f t="shared" ref="G119:L119" si="38">G117+G118</f>
        <v>21048.319950000001</v>
      </c>
      <c r="H119" s="426">
        <f t="shared" si="38"/>
        <v>12039.8</v>
      </c>
      <c r="I119" s="426">
        <f t="shared" si="38"/>
        <v>26094.1</v>
      </c>
      <c r="J119" s="426">
        <f t="shared" si="38"/>
        <v>27974.404999999999</v>
      </c>
      <c r="K119" s="426">
        <f t="shared" si="38"/>
        <v>29457.047999999999</v>
      </c>
      <c r="L119" s="2651">
        <f t="shared" si="38"/>
        <v>31028.27</v>
      </c>
      <c r="M119" s="3168"/>
      <c r="N119" s="3168"/>
      <c r="O119" s="3168"/>
      <c r="P119" s="3168"/>
      <c r="Q119" s="2614">
        <f t="shared" si="37"/>
        <v>24559.579336105988</v>
      </c>
      <c r="R119" s="1029">
        <f t="shared" si="37"/>
        <v>26180.511572288982</v>
      </c>
      <c r="S119" s="1029">
        <f t="shared" si="37"/>
        <v>27934.605847632338</v>
      </c>
      <c r="T119" s="995"/>
      <c r="V119" s="2684"/>
    </row>
    <row r="120" spans="1:23">
      <c r="A120" s="538" t="s">
        <v>225</v>
      </c>
      <c r="B120" s="1" t="s">
        <v>173</v>
      </c>
      <c r="C120" s="92"/>
      <c r="D120" s="1"/>
      <c r="E120" s="1"/>
      <c r="F120" s="1"/>
      <c r="G120" s="1"/>
      <c r="H120" s="1"/>
      <c r="I120" s="1"/>
      <c r="J120" s="1"/>
      <c r="K120" s="1"/>
      <c r="L120" s="50"/>
      <c r="M120" s="1481"/>
      <c r="N120" s="1481"/>
      <c r="O120" s="1481"/>
      <c r="P120" s="1481"/>
      <c r="Q120" s="1036"/>
      <c r="R120" s="998"/>
      <c r="S120" s="2700"/>
      <c r="T120" s="995"/>
      <c r="V120" s="2684"/>
    </row>
    <row r="121" spans="1:23" ht="15.75" thickBot="1">
      <c r="A121" s="1031" t="s">
        <v>226</v>
      </c>
      <c r="B121" s="27" t="s">
        <v>173</v>
      </c>
      <c r="C121" s="93"/>
      <c r="D121" s="27"/>
      <c r="E121" s="27"/>
      <c r="F121" s="27"/>
      <c r="G121" s="27"/>
      <c r="H121" s="27"/>
      <c r="I121" s="27"/>
      <c r="J121" s="27"/>
      <c r="K121" s="27"/>
      <c r="L121" s="517"/>
      <c r="M121" s="1483"/>
      <c r="N121" s="1483"/>
      <c r="O121" s="1483"/>
      <c r="P121" s="1483"/>
      <c r="Q121" s="1040"/>
      <c r="R121" s="1041"/>
      <c r="S121" s="2706"/>
      <c r="T121" s="1010"/>
      <c r="V121" s="2684"/>
    </row>
    <row r="122" spans="1:23" ht="15.75" thickBot="1">
      <c r="A122" s="79"/>
      <c r="B122" s="77" t="s">
        <v>157</v>
      </c>
      <c r="C122" s="94"/>
      <c r="D122" s="428">
        <f>D119+D120+D121</f>
        <v>19458.548000000003</v>
      </c>
      <c r="E122" s="428">
        <f t="shared" ref="E122:S122" si="39">E119+E120+E121</f>
        <v>20358.698700000001</v>
      </c>
      <c r="F122" s="428">
        <f t="shared" si="39"/>
        <v>22882.459800547746</v>
      </c>
      <c r="G122" s="428">
        <f t="shared" si="39"/>
        <v>21048.319950000001</v>
      </c>
      <c r="H122" s="428">
        <f>H119+H120+H121</f>
        <v>12039.8</v>
      </c>
      <c r="I122" s="428">
        <f t="shared" ref="I122:L122" si="40">I119+I120+I121</f>
        <v>26094.1</v>
      </c>
      <c r="J122" s="428">
        <f t="shared" si="40"/>
        <v>27974.404999999999</v>
      </c>
      <c r="K122" s="428">
        <f t="shared" si="40"/>
        <v>29457.047999999999</v>
      </c>
      <c r="L122" s="2735">
        <f t="shared" si="40"/>
        <v>31028.27</v>
      </c>
      <c r="M122" s="3169"/>
      <c r="N122" s="3169"/>
      <c r="O122" s="3169"/>
      <c r="P122" s="3169"/>
      <c r="Q122" s="509">
        <f t="shared" si="39"/>
        <v>24559.579336105988</v>
      </c>
      <c r="R122" s="1033">
        <f t="shared" si="39"/>
        <v>26180.511572288982</v>
      </c>
      <c r="S122" s="1033">
        <f t="shared" si="39"/>
        <v>27934.605847632338</v>
      </c>
      <c r="T122" s="217"/>
      <c r="V122" s="2686"/>
    </row>
    <row r="123" spans="1:23">
      <c r="A123" s="59"/>
      <c r="B123" s="56"/>
      <c r="C123" s="56"/>
      <c r="D123" s="56"/>
      <c r="E123" s="5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</row>
    <row r="124" spans="1:23" ht="15.75" hidden="1" customHeight="1" thickBot="1">
      <c r="A124" s="3389" t="s">
        <v>0</v>
      </c>
      <c r="B124" s="3389" t="s">
        <v>1</v>
      </c>
      <c r="C124" s="3389" t="s">
        <v>2</v>
      </c>
      <c r="D124" s="3432" t="s">
        <v>165</v>
      </c>
      <c r="E124" s="3433"/>
      <c r="F124" s="3433"/>
      <c r="G124" s="3433"/>
      <c r="H124" s="3433"/>
      <c r="I124" s="3433"/>
      <c r="J124" s="3433"/>
      <c r="K124" s="3433"/>
      <c r="L124" s="3433"/>
      <c r="M124" s="3433"/>
      <c r="N124" s="3433"/>
      <c r="O124" s="3433"/>
      <c r="P124" s="3433"/>
      <c r="Q124" s="3433"/>
      <c r="R124" s="3434"/>
      <c r="S124" s="3432" t="s">
        <v>166</v>
      </c>
      <c r="T124" s="3433"/>
      <c r="U124" s="3434"/>
      <c r="V124" s="3432" t="s">
        <v>1059</v>
      </c>
      <c r="W124" s="3434"/>
    </row>
    <row r="125" spans="1:23" ht="15.75" hidden="1" customHeight="1" thickBot="1">
      <c r="A125" s="3401"/>
      <c r="B125" s="3401"/>
      <c r="C125" s="3401"/>
      <c r="D125" s="3418" t="s">
        <v>1196</v>
      </c>
      <c r="E125" s="3419"/>
      <c r="F125" s="3418">
        <v>2015</v>
      </c>
      <c r="G125" s="3419"/>
      <c r="H125" s="3389" t="s">
        <v>1375</v>
      </c>
      <c r="I125" s="3420" t="s">
        <v>1376</v>
      </c>
      <c r="J125" s="3389" t="s">
        <v>394</v>
      </c>
      <c r="K125" s="3389" t="s">
        <v>395</v>
      </c>
      <c r="L125" s="3389" t="s">
        <v>1155</v>
      </c>
      <c r="M125" s="3077"/>
      <c r="N125" s="3077"/>
      <c r="O125" s="3077"/>
      <c r="P125" s="3077"/>
      <c r="Q125" s="3389" t="s">
        <v>394</v>
      </c>
      <c r="R125" s="3389" t="s">
        <v>395</v>
      </c>
      <c r="S125" s="3389" t="s">
        <v>167</v>
      </c>
      <c r="T125" s="3389" t="s">
        <v>394</v>
      </c>
      <c r="U125" s="3389" t="s">
        <v>395</v>
      </c>
      <c r="V125" s="3642" t="s">
        <v>1151</v>
      </c>
      <c r="W125" s="3389" t="s">
        <v>1061</v>
      </c>
    </row>
    <row r="126" spans="1:23" ht="50.25" hidden="1" customHeight="1" thickBot="1">
      <c r="A126" s="3390"/>
      <c r="B126" s="3390"/>
      <c r="C126" s="3390"/>
      <c r="D126" s="1535" t="s">
        <v>5</v>
      </c>
      <c r="E126" s="4" t="s">
        <v>6</v>
      </c>
      <c r="F126" s="4" t="s">
        <v>7</v>
      </c>
      <c r="G126" s="1490" t="s">
        <v>1397</v>
      </c>
      <c r="H126" s="3390"/>
      <c r="I126" s="3421"/>
      <c r="J126" s="3390"/>
      <c r="K126" s="3390"/>
      <c r="L126" s="3390"/>
      <c r="M126" s="3078"/>
      <c r="N126" s="3078"/>
      <c r="O126" s="3078"/>
      <c r="P126" s="3078"/>
      <c r="Q126" s="3390"/>
      <c r="R126" s="3390"/>
      <c r="S126" s="3390"/>
      <c r="T126" s="3390"/>
      <c r="U126" s="3390"/>
      <c r="V126" s="3643"/>
      <c r="W126" s="3646"/>
    </row>
    <row r="127" spans="1:23" hidden="1">
      <c r="A127" s="32">
        <v>1</v>
      </c>
      <c r="B127" s="991">
        <v>2</v>
      </c>
      <c r="C127" s="991">
        <v>3</v>
      </c>
      <c r="D127" s="991">
        <v>4</v>
      </c>
      <c r="E127" s="991">
        <v>5</v>
      </c>
      <c r="F127" s="991">
        <v>6</v>
      </c>
      <c r="G127" s="991">
        <v>7</v>
      </c>
      <c r="H127" s="51" t="s">
        <v>1377</v>
      </c>
      <c r="I127" s="51" t="s">
        <v>1378</v>
      </c>
      <c r="J127" s="51"/>
      <c r="K127" s="51"/>
      <c r="L127" s="51">
        <v>8</v>
      </c>
      <c r="M127" s="49"/>
      <c r="N127" s="49"/>
      <c r="O127" s="49"/>
      <c r="P127" s="49"/>
      <c r="Q127" s="49">
        <v>9</v>
      </c>
      <c r="R127" s="506">
        <v>10</v>
      </c>
      <c r="S127" s="993">
        <v>11</v>
      </c>
      <c r="T127" s="25">
        <v>12</v>
      </c>
      <c r="U127" s="25">
        <v>13</v>
      </c>
      <c r="V127" s="1298"/>
      <c r="W127" s="1"/>
    </row>
    <row r="128" spans="1:23" hidden="1">
      <c r="A128" s="538" t="s">
        <v>172</v>
      </c>
      <c r="B128" s="1" t="s">
        <v>173</v>
      </c>
      <c r="C128" s="1"/>
      <c r="D128" s="1"/>
      <c r="E128" s="1"/>
      <c r="F128" s="1"/>
      <c r="G128" s="1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998"/>
      <c r="S128" s="995"/>
      <c r="T128" s="1"/>
      <c r="U128" s="1"/>
      <c r="V128" s="1298"/>
      <c r="W128" s="1"/>
    </row>
    <row r="129" spans="1:23" hidden="1">
      <c r="A129" s="1001" t="s">
        <v>174</v>
      </c>
      <c r="B129" s="62" t="s">
        <v>175</v>
      </c>
      <c r="C129" s="63" t="s">
        <v>178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998"/>
      <c r="S129" s="995"/>
      <c r="T129" s="1"/>
      <c r="U129" s="1"/>
      <c r="V129" s="1298"/>
      <c r="W129" s="1"/>
    </row>
    <row r="130" spans="1:23" ht="30" hidden="1">
      <c r="A130" s="1011" t="s">
        <v>10</v>
      </c>
      <c r="B130" s="67" t="s">
        <v>176</v>
      </c>
      <c r="C130" s="68" t="s">
        <v>178</v>
      </c>
      <c r="D130" s="429">
        <f t="shared" ref="D130:U130" si="41">D131+D132+D133+D134</f>
        <v>6820.4659999999994</v>
      </c>
      <c r="E130" s="429">
        <f t="shared" si="41"/>
        <v>7109.6</v>
      </c>
      <c r="F130" s="429">
        <f t="shared" si="41"/>
        <v>7215.5</v>
      </c>
      <c r="G130" s="429">
        <f t="shared" si="41"/>
        <v>7340.4</v>
      </c>
      <c r="H130" s="429"/>
      <c r="I130" s="429"/>
      <c r="J130" s="429">
        <f t="shared" si="41"/>
        <v>7381.7</v>
      </c>
      <c r="K130" s="429">
        <f t="shared" si="41"/>
        <v>7381.7</v>
      </c>
      <c r="L130" s="429">
        <f t="shared" si="41"/>
        <v>7381.7</v>
      </c>
      <c r="M130" s="429"/>
      <c r="N130" s="429"/>
      <c r="O130" s="429"/>
      <c r="P130" s="429"/>
      <c r="Q130" s="429">
        <f t="shared" si="41"/>
        <v>7780.2999999999993</v>
      </c>
      <c r="R130" s="429">
        <f t="shared" si="41"/>
        <v>7780.2999999999993</v>
      </c>
      <c r="S130" s="429">
        <f t="shared" si="41"/>
        <v>0</v>
      </c>
      <c r="T130" s="429">
        <f t="shared" si="41"/>
        <v>0</v>
      </c>
      <c r="U130" s="429">
        <f t="shared" si="41"/>
        <v>0</v>
      </c>
      <c r="V130" s="1303"/>
      <c r="W130" s="1"/>
    </row>
    <row r="131" spans="1:23" hidden="1">
      <c r="A131" s="1012" t="s">
        <v>12</v>
      </c>
      <c r="B131" s="69" t="s">
        <v>177</v>
      </c>
      <c r="C131" s="68" t="s">
        <v>178</v>
      </c>
      <c r="D131" s="429">
        <v>878.56600000000003</v>
      </c>
      <c r="E131" s="429">
        <v>736.1</v>
      </c>
      <c r="F131" s="429">
        <v>760.7</v>
      </c>
      <c r="G131" s="429">
        <v>689.9</v>
      </c>
      <c r="H131" s="429"/>
      <c r="I131" s="429"/>
      <c r="J131" s="429">
        <v>691.2</v>
      </c>
      <c r="K131" s="429">
        <v>691.2</v>
      </c>
      <c r="L131" s="429">
        <v>691.2</v>
      </c>
      <c r="M131" s="429"/>
      <c r="N131" s="429"/>
      <c r="O131" s="429"/>
      <c r="P131" s="429"/>
      <c r="Q131" s="429">
        <f t="shared" ref="Q131:R131" si="42">583.1+177.6</f>
        <v>760.7</v>
      </c>
      <c r="R131" s="1108">
        <f t="shared" si="42"/>
        <v>760.7</v>
      </c>
      <c r="S131" s="1106"/>
      <c r="T131" s="429"/>
      <c r="U131" s="429"/>
      <c r="V131" s="1298"/>
      <c r="W131" s="1"/>
    </row>
    <row r="132" spans="1:23" hidden="1">
      <c r="A132" s="1012" t="s">
        <v>14</v>
      </c>
      <c r="B132" s="69" t="s">
        <v>179</v>
      </c>
      <c r="C132" s="68" t="s">
        <v>178</v>
      </c>
      <c r="D132" s="429">
        <f>5000+141.9</f>
        <v>5141.8999999999996</v>
      </c>
      <c r="E132" s="429">
        <v>5402</v>
      </c>
      <c r="F132" s="429">
        <v>5408.2</v>
      </c>
      <c r="G132" s="429">
        <v>5679</v>
      </c>
      <c r="H132" s="429"/>
      <c r="I132" s="429"/>
      <c r="J132" s="429">
        <v>5719</v>
      </c>
      <c r="K132" s="429">
        <v>5719</v>
      </c>
      <c r="L132" s="429">
        <v>5719</v>
      </c>
      <c r="M132" s="429"/>
      <c r="N132" s="429"/>
      <c r="O132" s="429"/>
      <c r="P132" s="429"/>
      <c r="Q132" s="429">
        <f t="shared" ref="Q132:R132" si="43">5837.8+135.2</f>
        <v>5973</v>
      </c>
      <c r="R132" s="1108">
        <f t="shared" si="43"/>
        <v>5973</v>
      </c>
      <c r="S132" s="1106"/>
      <c r="T132" s="429"/>
      <c r="U132" s="429"/>
      <c r="V132" s="1298"/>
      <c r="W132" s="1"/>
    </row>
    <row r="133" spans="1:23" hidden="1">
      <c r="A133" s="1012" t="s">
        <v>16</v>
      </c>
      <c r="B133" s="69" t="s">
        <v>180</v>
      </c>
      <c r="C133" s="68" t="s">
        <v>178</v>
      </c>
      <c r="D133" s="429"/>
      <c r="E133" s="429"/>
      <c r="F133" s="429"/>
      <c r="G133" s="429"/>
      <c r="H133" s="429"/>
      <c r="I133" s="429"/>
      <c r="J133" s="429"/>
      <c r="K133" s="429"/>
      <c r="L133" s="429"/>
      <c r="M133" s="429"/>
      <c r="N133" s="429"/>
      <c r="O133" s="429"/>
      <c r="P133" s="429"/>
      <c r="Q133" s="429"/>
      <c r="R133" s="1108"/>
      <c r="S133" s="1106"/>
      <c r="T133" s="429"/>
      <c r="U133" s="429"/>
      <c r="V133" s="1298"/>
      <c r="W133" s="1"/>
    </row>
    <row r="134" spans="1:23" hidden="1">
      <c r="A134" s="1012" t="s">
        <v>181</v>
      </c>
      <c r="B134" s="69" t="s">
        <v>182</v>
      </c>
      <c r="C134" s="68" t="s">
        <v>178</v>
      </c>
      <c r="D134" s="429">
        <v>800</v>
      </c>
      <c r="E134" s="429">
        <v>971.5</v>
      </c>
      <c r="F134" s="429">
        <v>1046.5999999999999</v>
      </c>
      <c r="G134" s="429">
        <v>971.5</v>
      </c>
      <c r="H134" s="429"/>
      <c r="I134" s="429"/>
      <c r="J134" s="429">
        <v>971.5</v>
      </c>
      <c r="K134" s="429">
        <v>971.5</v>
      </c>
      <c r="L134" s="429">
        <v>971.5</v>
      </c>
      <c r="M134" s="429"/>
      <c r="N134" s="429"/>
      <c r="O134" s="429"/>
      <c r="P134" s="429"/>
      <c r="Q134" s="429">
        <f>1046.6</f>
        <v>1046.5999999999999</v>
      </c>
      <c r="R134" s="1108">
        <f>1046.6</f>
        <v>1046.5999999999999</v>
      </c>
      <c r="S134" s="1106"/>
      <c r="T134" s="429"/>
      <c r="U134" s="429"/>
      <c r="V134" s="1298"/>
      <c r="W134" s="1"/>
    </row>
    <row r="135" spans="1:23" ht="45" hidden="1">
      <c r="A135" s="1013" t="s">
        <v>18</v>
      </c>
      <c r="B135" s="64" t="s">
        <v>183</v>
      </c>
      <c r="C135" s="65" t="s">
        <v>178</v>
      </c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1014"/>
      <c r="S135" s="1004"/>
      <c r="T135" s="66"/>
      <c r="U135" s="66"/>
      <c r="V135" s="1298"/>
      <c r="W135" s="1"/>
    </row>
    <row r="136" spans="1:23" hidden="1">
      <c r="A136" s="1015" t="s">
        <v>20</v>
      </c>
      <c r="B136" s="66" t="s">
        <v>184</v>
      </c>
      <c r="C136" s="65" t="s">
        <v>189</v>
      </c>
      <c r="D136" s="66"/>
      <c r="E136" s="66">
        <f t="shared" ref="E136:U136" si="44">E137+E138+E139+E140+E141</f>
        <v>0</v>
      </c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1014"/>
      <c r="S136" s="1004">
        <f t="shared" si="44"/>
        <v>0</v>
      </c>
      <c r="T136" s="66">
        <f t="shared" si="44"/>
        <v>0</v>
      </c>
      <c r="U136" s="66">
        <f t="shared" si="44"/>
        <v>0</v>
      </c>
      <c r="V136" s="1298"/>
      <c r="W136" s="1"/>
    </row>
    <row r="137" spans="1:23" hidden="1">
      <c r="A137" s="1015" t="s">
        <v>185</v>
      </c>
      <c r="B137" s="66" t="s">
        <v>177</v>
      </c>
      <c r="C137" s="65" t="s">
        <v>189</v>
      </c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1014"/>
      <c r="S137" s="1004"/>
      <c r="T137" s="66"/>
      <c r="U137" s="66"/>
      <c r="V137" s="1298"/>
      <c r="W137" s="1"/>
    </row>
    <row r="138" spans="1:23" hidden="1">
      <c r="A138" s="1015" t="s">
        <v>186</v>
      </c>
      <c r="B138" s="66" t="s">
        <v>179</v>
      </c>
      <c r="C138" s="65" t="s">
        <v>189</v>
      </c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1014"/>
      <c r="S138" s="1004"/>
      <c r="T138" s="66"/>
      <c r="U138" s="66"/>
      <c r="V138" s="1298"/>
      <c r="W138" s="1"/>
    </row>
    <row r="139" spans="1:23" hidden="1">
      <c r="A139" s="1015" t="s">
        <v>187</v>
      </c>
      <c r="B139" s="66" t="s">
        <v>180</v>
      </c>
      <c r="C139" s="65" t="s">
        <v>189</v>
      </c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1014"/>
      <c r="S139" s="1004"/>
      <c r="T139" s="66"/>
      <c r="U139" s="66"/>
      <c r="V139" s="1298"/>
      <c r="W139" s="1"/>
    </row>
    <row r="140" spans="1:23" hidden="1">
      <c r="A140" s="1015" t="s">
        <v>228</v>
      </c>
      <c r="B140" s="66" t="s">
        <v>182</v>
      </c>
      <c r="C140" s="65" t="s">
        <v>189</v>
      </c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1014"/>
      <c r="S140" s="1004"/>
      <c r="T140" s="66"/>
      <c r="U140" s="66"/>
      <c r="V140" s="1298"/>
      <c r="W140" s="1"/>
    </row>
    <row r="141" spans="1:23" hidden="1">
      <c r="A141" s="1015" t="s">
        <v>229</v>
      </c>
      <c r="B141" s="66" t="s">
        <v>188</v>
      </c>
      <c r="C141" s="65" t="s">
        <v>189</v>
      </c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1014"/>
      <c r="S141" s="1004"/>
      <c r="T141" s="66"/>
      <c r="U141" s="66"/>
      <c r="V141" s="1298"/>
      <c r="W141" s="1"/>
    </row>
    <row r="142" spans="1:23" hidden="1">
      <c r="A142" s="1016" t="s">
        <v>24</v>
      </c>
      <c r="B142" s="70" t="s">
        <v>190</v>
      </c>
      <c r="C142" s="71" t="s">
        <v>178</v>
      </c>
      <c r="D142" s="70"/>
      <c r="E142" s="70">
        <f t="shared" ref="E142:U142" si="45">E143+E144+E145+E146+E147</f>
        <v>0</v>
      </c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1017"/>
      <c r="S142" s="1005">
        <f t="shared" si="45"/>
        <v>0</v>
      </c>
      <c r="T142" s="70">
        <f t="shared" si="45"/>
        <v>0</v>
      </c>
      <c r="U142" s="70">
        <f t="shared" si="45"/>
        <v>0</v>
      </c>
      <c r="V142" s="1298"/>
      <c r="W142" s="1"/>
    </row>
    <row r="143" spans="1:23" hidden="1">
      <c r="A143" s="1016" t="s">
        <v>191</v>
      </c>
      <c r="B143" s="70" t="s">
        <v>177</v>
      </c>
      <c r="C143" s="71" t="s">
        <v>178</v>
      </c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1017"/>
      <c r="S143" s="1005"/>
      <c r="T143" s="70"/>
      <c r="U143" s="70"/>
      <c r="V143" s="1298"/>
      <c r="W143" s="1"/>
    </row>
    <row r="144" spans="1:23" hidden="1">
      <c r="A144" s="1016" t="s">
        <v>192</v>
      </c>
      <c r="B144" s="70" t="s">
        <v>179</v>
      </c>
      <c r="C144" s="71" t="s">
        <v>178</v>
      </c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1017"/>
      <c r="S144" s="1005"/>
      <c r="T144" s="70"/>
      <c r="U144" s="70"/>
      <c r="V144" s="1298"/>
      <c r="W144" s="1"/>
    </row>
    <row r="145" spans="1:23" hidden="1">
      <c r="A145" s="1016" t="s">
        <v>193</v>
      </c>
      <c r="B145" s="70" t="s">
        <v>180</v>
      </c>
      <c r="C145" s="71" t="s">
        <v>178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1017"/>
      <c r="S145" s="1005"/>
      <c r="T145" s="70"/>
      <c r="U145" s="70"/>
      <c r="V145" s="1298"/>
      <c r="W145" s="1"/>
    </row>
    <row r="146" spans="1:23" hidden="1">
      <c r="A146" s="1016" t="s">
        <v>194</v>
      </c>
      <c r="B146" s="70" t="s">
        <v>182</v>
      </c>
      <c r="C146" s="71" t="s">
        <v>178</v>
      </c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1017"/>
      <c r="S146" s="1005"/>
      <c r="T146" s="70"/>
      <c r="U146" s="70"/>
      <c r="V146" s="1298"/>
      <c r="W146" s="1"/>
    </row>
    <row r="147" spans="1:23" hidden="1">
      <c r="A147" s="1016" t="s">
        <v>195</v>
      </c>
      <c r="B147" s="70" t="s">
        <v>188</v>
      </c>
      <c r="C147" s="71" t="s">
        <v>189</v>
      </c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1017"/>
      <c r="S147" s="1005"/>
      <c r="T147" s="70"/>
      <c r="U147" s="70"/>
      <c r="V147" s="1298"/>
      <c r="W147" s="1"/>
    </row>
    <row r="148" spans="1:23" ht="30" hidden="1">
      <c r="A148" s="1018" t="s">
        <v>50</v>
      </c>
      <c r="B148" s="82" t="s">
        <v>196</v>
      </c>
      <c r="C148" s="83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1019"/>
      <c r="S148" s="1006"/>
      <c r="T148" s="84"/>
      <c r="U148" s="84"/>
      <c r="V148" s="1298"/>
      <c r="W148" s="1"/>
    </row>
    <row r="149" spans="1:23" ht="17.25" hidden="1" customHeight="1">
      <c r="A149" s="1020" t="s">
        <v>197</v>
      </c>
      <c r="B149" s="84" t="s">
        <v>177</v>
      </c>
      <c r="C149" s="89" t="s">
        <v>198</v>
      </c>
      <c r="D149" s="425">
        <f>(3116.9+772.1)*0.82/D131</f>
        <v>3.6297557610925075</v>
      </c>
      <c r="E149" s="425">
        <v>3.847</v>
      </c>
      <c r="F149" s="425">
        <v>4.2446252634188673</v>
      </c>
      <c r="G149" s="425">
        <v>3.8540000000000001</v>
      </c>
      <c r="H149" s="425"/>
      <c r="I149" s="425"/>
      <c r="J149" s="425">
        <f>E149*1.045</f>
        <v>4.0201149999999997</v>
      </c>
      <c r="K149" s="425">
        <f>J149*1.043</f>
        <v>4.1929799449999994</v>
      </c>
      <c r="L149" s="425">
        <f>K149*1.043</f>
        <v>4.3732780826349993</v>
      </c>
      <c r="M149" s="425"/>
      <c r="N149" s="425"/>
      <c r="O149" s="425"/>
      <c r="P149" s="425"/>
      <c r="Q149" s="425">
        <f>(2746.2+894.3)/Q131</f>
        <v>4.7857236755619823</v>
      </c>
      <c r="R149" s="1021">
        <f>(978.4+3004.4)/R131</f>
        <v>5.2357039568818191</v>
      </c>
      <c r="S149" s="1007"/>
      <c r="T149" s="425"/>
      <c r="U149" s="425"/>
      <c r="V149" s="1298"/>
      <c r="W149" s="1"/>
    </row>
    <row r="150" spans="1:23" ht="19.5" hidden="1" customHeight="1">
      <c r="A150" s="1020" t="s">
        <v>199</v>
      </c>
      <c r="B150" s="84" t="s">
        <v>179</v>
      </c>
      <c r="C150" s="89" t="s">
        <v>198</v>
      </c>
      <c r="D150" s="425">
        <f>(14678+393.2)*0.89/D132</f>
        <v>2.608640385849589</v>
      </c>
      <c r="E150" s="425">
        <v>2.8109999999999999</v>
      </c>
      <c r="F150" s="425">
        <v>3.1201334570957098</v>
      </c>
      <c r="G150" s="425">
        <v>2.8256999999999999</v>
      </c>
      <c r="H150" s="425"/>
      <c r="I150" s="425"/>
      <c r="J150" s="425">
        <f>E150*1.045</f>
        <v>2.9374949999999997</v>
      </c>
      <c r="K150" s="425">
        <f>J150*1.045</f>
        <v>3.0696822749999995</v>
      </c>
      <c r="L150" s="425">
        <f>K150*1.043</f>
        <v>3.201678612824999</v>
      </c>
      <c r="M150" s="425"/>
      <c r="N150" s="425"/>
      <c r="O150" s="425"/>
      <c r="P150" s="425"/>
      <c r="Q150" s="425">
        <f>(20532.9+456)/Q132</f>
        <v>3.5139628327473633</v>
      </c>
      <c r="R150" s="1021">
        <f>(22463+498.9)/R132</f>
        <v>3.8442826050560859</v>
      </c>
      <c r="S150" s="1007"/>
      <c r="T150" s="425"/>
      <c r="U150" s="425"/>
      <c r="V150" s="1298"/>
      <c r="W150" s="1"/>
    </row>
    <row r="151" spans="1:23" ht="16.5" hidden="1" customHeight="1">
      <c r="A151" s="1020" t="s">
        <v>200</v>
      </c>
      <c r="B151" s="84" t="s">
        <v>180</v>
      </c>
      <c r="C151" s="89" t="s">
        <v>198</v>
      </c>
      <c r="D151" s="425"/>
      <c r="E151" s="425"/>
      <c r="F151" s="425"/>
      <c r="G151" s="425"/>
      <c r="H151" s="425"/>
      <c r="I151" s="425"/>
      <c r="J151" s="425"/>
      <c r="K151" s="425"/>
      <c r="L151" s="425"/>
      <c r="M151" s="425"/>
      <c r="N151" s="425"/>
      <c r="O151" s="425"/>
      <c r="P151" s="425"/>
      <c r="Q151" s="425"/>
      <c r="R151" s="1021"/>
      <c r="S151" s="1007"/>
      <c r="T151" s="425"/>
      <c r="U151" s="425"/>
      <c r="V151" s="1298"/>
      <c r="W151" s="1"/>
    </row>
    <row r="152" spans="1:23" ht="21" hidden="1" customHeight="1">
      <c r="A152" s="1020" t="s">
        <v>201</v>
      </c>
      <c r="B152" s="84" t="s">
        <v>182</v>
      </c>
      <c r="C152" s="89" t="s">
        <v>198</v>
      </c>
      <c r="D152" s="425">
        <f>2946.5/D134</f>
        <v>3.683125</v>
      </c>
      <c r="E152" s="425">
        <f>2341.9/E134</f>
        <v>2.4106021616057642</v>
      </c>
      <c r="F152" s="425">
        <v>2.655520351614753</v>
      </c>
      <c r="G152" s="425">
        <v>2.4106999999999998</v>
      </c>
      <c r="H152" s="425"/>
      <c r="I152" s="425"/>
      <c r="J152" s="425">
        <f>E152*1.045</f>
        <v>2.5190792588780235</v>
      </c>
      <c r="K152" s="425">
        <f>J152*1.043</f>
        <v>2.6273996670097786</v>
      </c>
      <c r="L152" s="425">
        <f>K152*1.043</f>
        <v>2.740377852691199</v>
      </c>
      <c r="M152" s="425"/>
      <c r="N152" s="425"/>
      <c r="O152" s="425"/>
      <c r="P152" s="425"/>
      <c r="Q152" s="425">
        <f>3133.3/Q134</f>
        <v>2.9937894133384297</v>
      </c>
      <c r="R152" s="1021">
        <f>3427.9/R134</f>
        <v>3.2752723103382384</v>
      </c>
      <c r="S152" s="1007"/>
      <c r="T152" s="425"/>
      <c r="U152" s="425"/>
      <c r="V152" s="1298"/>
      <c r="W152" s="1"/>
    </row>
    <row r="153" spans="1:23" ht="45" hidden="1">
      <c r="A153" s="1022" t="s">
        <v>202</v>
      </c>
      <c r="B153" s="83" t="s">
        <v>227</v>
      </c>
      <c r="C153" s="89" t="s">
        <v>198</v>
      </c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1019"/>
      <c r="S153" s="1006"/>
      <c r="T153" s="84"/>
      <c r="U153" s="84"/>
      <c r="V153" s="1298"/>
      <c r="W153" s="1"/>
    </row>
    <row r="154" spans="1:23" ht="45" hidden="1">
      <c r="A154" s="1022" t="s">
        <v>203</v>
      </c>
      <c r="B154" s="83" t="s">
        <v>204</v>
      </c>
      <c r="C154" s="89" t="s">
        <v>198</v>
      </c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1019"/>
      <c r="S154" s="1006"/>
      <c r="T154" s="84"/>
      <c r="U154" s="84"/>
      <c r="V154" s="1298"/>
      <c r="W154" s="1"/>
    </row>
    <row r="155" spans="1:23" hidden="1">
      <c r="A155" s="1023" t="s">
        <v>54</v>
      </c>
      <c r="B155" s="40" t="s">
        <v>205</v>
      </c>
      <c r="C155" s="9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997"/>
      <c r="S155" s="994"/>
      <c r="T155" s="40"/>
      <c r="U155" s="40"/>
      <c r="V155" s="1298"/>
      <c r="W155" s="1"/>
    </row>
    <row r="156" spans="1:23" ht="30" hidden="1">
      <c r="A156" s="1024" t="s">
        <v>206</v>
      </c>
      <c r="B156" s="73" t="s">
        <v>207</v>
      </c>
      <c r="C156" s="91" t="s">
        <v>208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997"/>
      <c r="S156" s="994"/>
      <c r="T156" s="40"/>
      <c r="U156" s="40"/>
      <c r="V156" s="1298"/>
      <c r="W156" s="1"/>
    </row>
    <row r="157" spans="1:23" ht="30" hidden="1">
      <c r="A157" s="1025" t="s">
        <v>209</v>
      </c>
      <c r="B157" s="73" t="s">
        <v>177</v>
      </c>
      <c r="C157" s="91" t="s">
        <v>208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997"/>
      <c r="S157" s="994"/>
      <c r="T157" s="40"/>
      <c r="U157" s="40"/>
      <c r="V157" s="1298"/>
      <c r="W157" s="1"/>
    </row>
    <row r="158" spans="1:23" ht="30" hidden="1">
      <c r="A158" s="1025" t="s">
        <v>210</v>
      </c>
      <c r="B158" s="73" t="s">
        <v>179</v>
      </c>
      <c r="C158" s="91" t="s">
        <v>208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997"/>
      <c r="S158" s="994"/>
      <c r="T158" s="40"/>
      <c r="U158" s="40"/>
      <c r="V158" s="1298"/>
      <c r="W158" s="1"/>
    </row>
    <row r="159" spans="1:23" ht="30" hidden="1">
      <c r="A159" s="1025" t="s">
        <v>211</v>
      </c>
      <c r="B159" s="73" t="s">
        <v>180</v>
      </c>
      <c r="C159" s="91" t="s">
        <v>208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997"/>
      <c r="S159" s="994"/>
      <c r="T159" s="40"/>
      <c r="U159" s="40"/>
      <c r="V159" s="1298"/>
      <c r="W159" s="1"/>
    </row>
    <row r="160" spans="1:23" ht="30" hidden="1">
      <c r="A160" s="1025" t="s">
        <v>212</v>
      </c>
      <c r="B160" s="73" t="s">
        <v>182</v>
      </c>
      <c r="C160" s="91" t="s">
        <v>208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997"/>
      <c r="S160" s="994"/>
      <c r="T160" s="40"/>
      <c r="U160" s="40"/>
      <c r="V160" s="1298"/>
      <c r="W160" s="1"/>
    </row>
    <row r="161" spans="1:23" ht="30" hidden="1">
      <c r="A161" s="1025" t="s">
        <v>213</v>
      </c>
      <c r="B161" s="73" t="s">
        <v>188</v>
      </c>
      <c r="C161" s="91" t="s">
        <v>208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997"/>
      <c r="S161" s="994"/>
      <c r="T161" s="40"/>
      <c r="U161" s="40"/>
      <c r="V161" s="1298"/>
      <c r="W161" s="1"/>
    </row>
    <row r="162" spans="1:23" ht="30" hidden="1">
      <c r="A162" s="1026" t="s">
        <v>214</v>
      </c>
      <c r="B162" s="73" t="s">
        <v>215</v>
      </c>
      <c r="C162" s="91" t="s">
        <v>208</v>
      </c>
      <c r="D162" s="40"/>
      <c r="E162" s="40">
        <f t="shared" ref="E162:U162" si="46">E163+E164+E165+E166+E167</f>
        <v>0</v>
      </c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997"/>
      <c r="S162" s="994">
        <f t="shared" si="46"/>
        <v>0</v>
      </c>
      <c r="T162" s="40">
        <f t="shared" si="46"/>
        <v>0</v>
      </c>
      <c r="U162" s="40">
        <f t="shared" si="46"/>
        <v>0</v>
      </c>
      <c r="V162" s="1298"/>
      <c r="W162" s="1"/>
    </row>
    <row r="163" spans="1:23" ht="30" hidden="1">
      <c r="A163" s="1025" t="s">
        <v>216</v>
      </c>
      <c r="B163" s="73" t="s">
        <v>177</v>
      </c>
      <c r="C163" s="91" t="s">
        <v>208</v>
      </c>
      <c r="D163" s="40"/>
      <c r="E163" s="40">
        <f t="shared" ref="E163:U164" si="47">E143*E157</f>
        <v>0</v>
      </c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997"/>
      <c r="S163" s="994">
        <f t="shared" si="47"/>
        <v>0</v>
      </c>
      <c r="T163" s="40">
        <f t="shared" si="47"/>
        <v>0</v>
      </c>
      <c r="U163" s="40">
        <f t="shared" si="47"/>
        <v>0</v>
      </c>
      <c r="V163" s="1298"/>
      <c r="W163" s="1"/>
    </row>
    <row r="164" spans="1:23" ht="30" hidden="1">
      <c r="A164" s="1025" t="s">
        <v>217</v>
      </c>
      <c r="B164" s="73" t="s">
        <v>179</v>
      </c>
      <c r="C164" s="91" t="s">
        <v>208</v>
      </c>
      <c r="D164" s="40"/>
      <c r="E164" s="40">
        <f t="shared" si="47"/>
        <v>0</v>
      </c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997"/>
      <c r="S164" s="994">
        <f t="shared" si="47"/>
        <v>0</v>
      </c>
      <c r="T164" s="40">
        <f t="shared" si="47"/>
        <v>0</v>
      </c>
      <c r="U164" s="40">
        <f t="shared" si="47"/>
        <v>0</v>
      </c>
      <c r="V164" s="1298"/>
      <c r="W164" s="1"/>
    </row>
    <row r="165" spans="1:23" ht="30" hidden="1">
      <c r="A165" s="1025" t="s">
        <v>218</v>
      </c>
      <c r="B165" s="73" t="s">
        <v>180</v>
      </c>
      <c r="C165" s="91" t="s">
        <v>208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997"/>
      <c r="S165" s="994"/>
      <c r="T165" s="40"/>
      <c r="U165" s="40"/>
      <c r="V165" s="1298"/>
      <c r="W165" s="1"/>
    </row>
    <row r="166" spans="1:23" ht="30" hidden="1">
      <c r="A166" s="1025" t="s">
        <v>219</v>
      </c>
      <c r="B166" s="73" t="s">
        <v>182</v>
      </c>
      <c r="C166" s="91" t="s">
        <v>208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997"/>
      <c r="S166" s="994"/>
      <c r="T166" s="40"/>
      <c r="U166" s="40"/>
      <c r="V166" s="1298"/>
      <c r="W166" s="1"/>
    </row>
    <row r="167" spans="1:23" ht="30" hidden="1">
      <c r="A167" s="1025" t="s">
        <v>220</v>
      </c>
      <c r="B167" s="73" t="s">
        <v>188</v>
      </c>
      <c r="C167" s="91" t="s">
        <v>208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997"/>
      <c r="S167" s="994"/>
      <c r="T167" s="40"/>
      <c r="U167" s="40"/>
      <c r="V167" s="1298"/>
      <c r="W167" s="1"/>
    </row>
    <row r="168" spans="1:23" hidden="1">
      <c r="A168" s="999" t="s">
        <v>62</v>
      </c>
      <c r="B168" s="74" t="s">
        <v>222</v>
      </c>
      <c r="C168" s="63" t="s">
        <v>11</v>
      </c>
      <c r="D168" s="408">
        <f>((D131*D149)+(D132*D150)+(D133*D151)+(D134*D152))-90.3</f>
        <v>19458.548000000003</v>
      </c>
      <c r="E168" s="408">
        <f>((E131*E149)+(E132*E150)+(E133*E151)+(E134*E152))</f>
        <v>20358.698700000001</v>
      </c>
      <c r="F168" s="408">
        <f>((F131*F149)+(F132*F150)+(F133*F151)+(F134*F152))</f>
        <v>22882.459800547746</v>
      </c>
      <c r="G168" s="408">
        <f>((G131*G149)+(G132*G150)+(G133*G151)+(G134*G152))+0.3</f>
        <v>21048.319950000001</v>
      </c>
      <c r="H168" s="408"/>
      <c r="I168" s="408"/>
      <c r="J168" s="408">
        <f t="shared" ref="J168:L168" si="48">((J131*J149)+(J132*J150)+(J133*J151)+(J134*J152))</f>
        <v>22025.522893000001</v>
      </c>
      <c r="K168" s="408">
        <f t="shared" si="48"/>
        <v>23006.219445208997</v>
      </c>
      <c r="L168" s="408">
        <f t="shared" si="48"/>
        <v>23995.486881352983</v>
      </c>
      <c r="M168" s="408"/>
      <c r="N168" s="408"/>
      <c r="O168" s="408"/>
      <c r="P168" s="408"/>
      <c r="Q168" s="408">
        <f t="shared" ref="Q168:U168" si="49">((Q131*Q149)+(Q132*Q150)+(Q133*Q151)+(Q134*Q152))</f>
        <v>27762.7</v>
      </c>
      <c r="R168" s="408">
        <f t="shared" si="49"/>
        <v>30372.600000000002</v>
      </c>
      <c r="S168" s="408">
        <f t="shared" si="49"/>
        <v>0</v>
      </c>
      <c r="T168" s="408">
        <f t="shared" si="49"/>
        <v>0</v>
      </c>
      <c r="U168" s="408">
        <f t="shared" si="49"/>
        <v>0</v>
      </c>
      <c r="V168" s="1357"/>
      <c r="W168" s="1"/>
    </row>
    <row r="169" spans="1:23" hidden="1">
      <c r="A169" s="999" t="s">
        <v>99</v>
      </c>
      <c r="B169" s="74" t="s">
        <v>223</v>
      </c>
      <c r="C169" s="63" t="s">
        <v>11</v>
      </c>
      <c r="D169" s="408"/>
      <c r="E169" s="408"/>
      <c r="F169" s="408"/>
      <c r="G169" s="408"/>
      <c r="H169" s="408"/>
      <c r="I169" s="408"/>
      <c r="J169" s="408"/>
      <c r="K169" s="408"/>
      <c r="L169" s="408"/>
      <c r="M169" s="408"/>
      <c r="N169" s="408"/>
      <c r="O169" s="408"/>
      <c r="P169" s="408"/>
      <c r="Q169" s="408"/>
      <c r="R169" s="1027"/>
      <c r="S169" s="1008"/>
      <c r="T169" s="62"/>
      <c r="U169" s="62"/>
      <c r="V169" s="1298"/>
      <c r="W169" s="1"/>
    </row>
    <row r="170" spans="1:23" ht="30" hidden="1">
      <c r="A170" s="1028" t="s">
        <v>221</v>
      </c>
      <c r="B170" s="72" t="s">
        <v>224</v>
      </c>
      <c r="C170" s="85" t="s">
        <v>11</v>
      </c>
      <c r="D170" s="426">
        <f t="shared" ref="D170:U170" si="50">D168+D169</f>
        <v>19458.548000000003</v>
      </c>
      <c r="E170" s="426">
        <f t="shared" si="50"/>
        <v>20358.698700000001</v>
      </c>
      <c r="F170" s="426">
        <v>22882.459800547746</v>
      </c>
      <c r="G170" s="426">
        <f t="shared" ref="G170:L170" si="51">G168+G169</f>
        <v>21048.319950000001</v>
      </c>
      <c r="H170" s="426"/>
      <c r="I170" s="426"/>
      <c r="J170" s="426">
        <f t="shared" si="51"/>
        <v>22025.522893000001</v>
      </c>
      <c r="K170" s="426">
        <f t="shared" si="51"/>
        <v>23006.219445208997</v>
      </c>
      <c r="L170" s="426">
        <f t="shared" si="51"/>
        <v>23995.486881352983</v>
      </c>
      <c r="M170" s="426"/>
      <c r="N170" s="426"/>
      <c r="O170" s="426"/>
      <c r="P170" s="426"/>
      <c r="Q170" s="426">
        <f t="shared" si="50"/>
        <v>27762.7</v>
      </c>
      <c r="R170" s="1029">
        <f t="shared" si="50"/>
        <v>30372.600000000002</v>
      </c>
      <c r="S170" s="1009">
        <f t="shared" si="50"/>
        <v>0</v>
      </c>
      <c r="T170" s="39">
        <f t="shared" si="50"/>
        <v>0</v>
      </c>
      <c r="U170" s="39">
        <f t="shared" si="50"/>
        <v>0</v>
      </c>
      <c r="V170" s="1298"/>
      <c r="W170" s="1"/>
    </row>
    <row r="171" spans="1:23" hidden="1">
      <c r="A171" s="538" t="s">
        <v>225</v>
      </c>
      <c r="B171" s="1" t="s">
        <v>173</v>
      </c>
      <c r="C171" s="9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998"/>
      <c r="S171" s="995"/>
      <c r="T171" s="1"/>
      <c r="U171" s="1"/>
      <c r="V171" s="1298"/>
      <c r="W171" s="1"/>
    </row>
    <row r="172" spans="1:23" ht="15.75" hidden="1" thickBot="1">
      <c r="A172" s="1031" t="s">
        <v>226</v>
      </c>
      <c r="B172" s="27" t="s">
        <v>173</v>
      </c>
      <c r="C172" s="93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1041"/>
      <c r="S172" s="1010"/>
      <c r="T172" s="27"/>
      <c r="U172" s="27"/>
      <c r="V172" s="1299"/>
      <c r="W172" s="27"/>
    </row>
    <row r="173" spans="1:23" ht="15.75" hidden="1" thickBot="1">
      <c r="A173" s="79"/>
      <c r="B173" s="77" t="s">
        <v>157</v>
      </c>
      <c r="C173" s="94"/>
      <c r="D173" s="428">
        <f>D170+D171+D172</f>
        <v>19458.548000000003</v>
      </c>
      <c r="E173" s="428">
        <f t="shared" ref="E173:U173" si="52">E170+E171+E172</f>
        <v>20358.698700000001</v>
      </c>
      <c r="F173" s="428">
        <f t="shared" si="52"/>
        <v>22882.459800547746</v>
      </c>
      <c r="G173" s="428">
        <f t="shared" ref="G173:L173" si="53">G170+G171+G172</f>
        <v>21048.319950000001</v>
      </c>
      <c r="H173" s="428"/>
      <c r="I173" s="428"/>
      <c r="J173" s="428">
        <f t="shared" si="53"/>
        <v>22025.522893000001</v>
      </c>
      <c r="K173" s="428">
        <f t="shared" si="53"/>
        <v>23006.219445208997</v>
      </c>
      <c r="L173" s="428">
        <f t="shared" si="53"/>
        <v>23995.486881352983</v>
      </c>
      <c r="M173" s="428"/>
      <c r="N173" s="428"/>
      <c r="O173" s="428"/>
      <c r="P173" s="428"/>
      <c r="Q173" s="428">
        <f t="shared" si="52"/>
        <v>27762.7</v>
      </c>
      <c r="R173" s="1109">
        <f t="shared" si="52"/>
        <v>30372.600000000002</v>
      </c>
      <c r="S173" s="1107">
        <f t="shared" si="52"/>
        <v>0</v>
      </c>
      <c r="T173" s="81">
        <f t="shared" si="52"/>
        <v>0</v>
      </c>
      <c r="U173" s="81">
        <f t="shared" si="52"/>
        <v>0</v>
      </c>
      <c r="V173" s="1302">
        <f>V170</f>
        <v>0</v>
      </c>
      <c r="W173" s="1296"/>
    </row>
    <row r="174" spans="1:23" ht="15.75">
      <c r="A174" s="361"/>
      <c r="B174" s="362"/>
      <c r="C174" s="56"/>
      <c r="D174" s="56"/>
      <c r="E174" s="56"/>
      <c r="F174" s="411"/>
      <c r="G174" s="411"/>
      <c r="H174" s="1968"/>
      <c r="I174" s="1968"/>
      <c r="J174" s="1534"/>
      <c r="K174" s="1534"/>
      <c r="L174" s="411"/>
      <c r="M174" s="3082"/>
      <c r="N174" s="3082"/>
      <c r="O174" s="3082"/>
      <c r="P174" s="3082"/>
      <c r="Q174" s="411"/>
      <c r="R174" s="411"/>
      <c r="S174" s="411"/>
    </row>
    <row r="175" spans="1:23">
      <c r="A175" s="55"/>
    </row>
    <row r="176" spans="1:23">
      <c r="A176" s="55"/>
      <c r="F176" s="3457" t="s">
        <v>230</v>
      </c>
      <c r="G176" s="3457"/>
      <c r="H176" s="3457"/>
      <c r="I176" s="3457"/>
      <c r="J176" s="3457"/>
      <c r="K176" s="3457"/>
      <c r="L176" s="3457"/>
      <c r="M176" s="3457"/>
      <c r="N176" s="3457"/>
      <c r="O176" s="3457"/>
      <c r="P176" s="3457"/>
      <c r="Q176" s="3457"/>
      <c r="R176" s="3457"/>
      <c r="S176" s="3457"/>
    </row>
    <row r="177" spans="1:24">
      <c r="A177" s="55"/>
      <c r="F177" s="3457" t="s">
        <v>169</v>
      </c>
      <c r="G177" s="3457"/>
      <c r="H177" s="3457"/>
      <c r="I177" s="3457"/>
      <c r="J177" s="3457"/>
      <c r="K177" s="3457"/>
      <c r="L177" s="3457"/>
      <c r="M177" s="3457"/>
      <c r="N177" s="3457"/>
      <c r="O177" s="3457"/>
      <c r="P177" s="3457"/>
      <c r="Q177" s="3457"/>
      <c r="R177" s="3457"/>
      <c r="S177" s="3457"/>
    </row>
    <row r="178" spans="1:24">
      <c r="A178" s="55"/>
      <c r="F178" s="58" t="s">
        <v>294</v>
      </c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</row>
    <row r="179" spans="1:24">
      <c r="A179" s="55"/>
      <c r="F179" s="3457" t="s">
        <v>170</v>
      </c>
      <c r="G179" s="3457"/>
      <c r="H179" s="3457"/>
      <c r="I179" s="3457"/>
      <c r="J179" s="3457"/>
      <c r="K179" s="3457"/>
      <c r="L179" s="3457"/>
      <c r="M179" s="3457"/>
      <c r="N179" s="3457"/>
      <c r="O179" s="3457"/>
      <c r="P179" s="3457"/>
      <c r="Q179" s="3457"/>
      <c r="R179" s="3457"/>
      <c r="S179" s="3457"/>
    </row>
    <row r="180" spans="1:24">
      <c r="A180" s="55"/>
    </row>
    <row r="181" spans="1:24" ht="15.75" thickBot="1">
      <c r="A181" s="59" t="s">
        <v>1784</v>
      </c>
    </row>
    <row r="182" spans="1:24" ht="15.75" customHeight="1" thickBot="1">
      <c r="A182" s="3389" t="s">
        <v>0</v>
      </c>
      <c r="B182" s="3389" t="s">
        <v>1</v>
      </c>
      <c r="C182" s="3389" t="s">
        <v>2</v>
      </c>
      <c r="D182" s="3432" t="s">
        <v>165</v>
      </c>
      <c r="E182" s="3433"/>
      <c r="F182" s="3433"/>
      <c r="G182" s="3433"/>
      <c r="H182" s="3433"/>
      <c r="I182" s="3433"/>
      <c r="J182" s="3433"/>
      <c r="K182" s="3433"/>
      <c r="L182" s="3433"/>
      <c r="M182" s="3081"/>
      <c r="N182" s="3081"/>
      <c r="O182" s="3081"/>
      <c r="P182" s="3081"/>
      <c r="Q182" s="3432" t="s">
        <v>166</v>
      </c>
      <c r="R182" s="3433"/>
      <c r="S182" s="3433"/>
      <c r="T182" s="3434"/>
      <c r="U182" s="2683"/>
      <c r="V182" s="3449"/>
      <c r="W182" s="3449"/>
      <c r="X182" s="116"/>
    </row>
    <row r="183" spans="1:24" ht="15.75" customHeight="1" thickBot="1">
      <c r="A183" s="3401"/>
      <c r="B183" s="3401"/>
      <c r="C183" s="3401"/>
      <c r="D183" s="3418" t="s">
        <v>1196</v>
      </c>
      <c r="E183" s="3419"/>
      <c r="F183" s="3418">
        <v>2015</v>
      </c>
      <c r="G183" s="3419"/>
      <c r="H183" s="3389" t="s">
        <v>1375</v>
      </c>
      <c r="I183" s="3389" t="s">
        <v>1376</v>
      </c>
      <c r="J183" s="3389" t="s">
        <v>394</v>
      </c>
      <c r="K183" s="3389" t="s">
        <v>395</v>
      </c>
      <c r="L183" s="3387" t="s">
        <v>1155</v>
      </c>
      <c r="M183" s="3075"/>
      <c r="N183" s="3075"/>
      <c r="O183" s="3075"/>
      <c r="P183" s="3075"/>
      <c r="Q183" s="3389" t="s">
        <v>394</v>
      </c>
      <c r="R183" s="3389" t="s">
        <v>394</v>
      </c>
      <c r="S183" s="3389" t="s">
        <v>395</v>
      </c>
      <c r="T183" s="3389" t="s">
        <v>1061</v>
      </c>
      <c r="U183" s="116"/>
      <c r="V183" s="3631"/>
      <c r="W183" s="3631"/>
      <c r="X183" s="116"/>
    </row>
    <row r="184" spans="1:24" ht="31.5" customHeight="1" thickBot="1">
      <c r="A184" s="3390"/>
      <c r="B184" s="3390"/>
      <c r="C184" s="3390"/>
      <c r="D184" s="1535" t="s">
        <v>5</v>
      </c>
      <c r="E184" s="4" t="s">
        <v>6</v>
      </c>
      <c r="F184" s="4" t="s">
        <v>7</v>
      </c>
      <c r="G184" s="4" t="s">
        <v>8</v>
      </c>
      <c r="H184" s="3390"/>
      <c r="I184" s="3390"/>
      <c r="J184" s="3390"/>
      <c r="K184" s="3390"/>
      <c r="L184" s="3388"/>
      <c r="M184" s="3076"/>
      <c r="N184" s="3076"/>
      <c r="O184" s="3076"/>
      <c r="P184" s="3076"/>
      <c r="Q184" s="3390"/>
      <c r="R184" s="3390"/>
      <c r="S184" s="3390"/>
      <c r="T184" s="3390"/>
      <c r="U184" s="116"/>
      <c r="V184" s="3631"/>
      <c r="W184" s="3631"/>
      <c r="X184" s="116"/>
    </row>
    <row r="185" spans="1:24" ht="24.75" customHeight="1">
      <c r="A185" s="534">
        <v>1</v>
      </c>
      <c r="B185" s="3">
        <v>2</v>
      </c>
      <c r="C185" s="3">
        <v>3</v>
      </c>
      <c r="D185" s="3">
        <v>4</v>
      </c>
      <c r="E185" s="3">
        <v>5</v>
      </c>
      <c r="F185" s="3">
        <v>6</v>
      </c>
      <c r="G185" s="3">
        <v>7</v>
      </c>
      <c r="H185" s="51" t="s">
        <v>1377</v>
      </c>
      <c r="I185" s="51" t="s">
        <v>1378</v>
      </c>
      <c r="J185" s="49">
        <v>8</v>
      </c>
      <c r="K185" s="49">
        <v>9</v>
      </c>
      <c r="L185" s="49">
        <v>10</v>
      </c>
      <c r="M185" s="3143"/>
      <c r="N185" s="3143"/>
      <c r="O185" s="3143"/>
      <c r="P185" s="3143"/>
      <c r="Q185" s="1147">
        <v>11</v>
      </c>
      <c r="R185" s="49">
        <v>12</v>
      </c>
      <c r="S185" s="49">
        <v>13</v>
      </c>
      <c r="T185" s="2632"/>
      <c r="U185" s="116"/>
      <c r="V185" s="2684"/>
      <c r="W185" s="116"/>
      <c r="X185" s="116"/>
    </row>
    <row r="186" spans="1:24">
      <c r="A186" s="1036" t="s">
        <v>172</v>
      </c>
      <c r="B186" s="1" t="s">
        <v>595</v>
      </c>
      <c r="C186" s="1"/>
      <c r="D186" s="1"/>
      <c r="E186" s="1"/>
      <c r="F186" s="1"/>
      <c r="G186" s="1" t="s">
        <v>1277</v>
      </c>
      <c r="H186" s="1"/>
      <c r="I186" s="1"/>
      <c r="J186" s="1"/>
      <c r="K186" s="1"/>
      <c r="L186" s="50"/>
      <c r="M186" s="1481"/>
      <c r="N186" s="1481"/>
      <c r="O186" s="1481"/>
      <c r="P186" s="1481"/>
      <c r="Q186" s="1036"/>
      <c r="R186" s="1"/>
      <c r="S186" s="1"/>
      <c r="T186" s="998"/>
      <c r="U186" s="116"/>
      <c r="V186" s="2684"/>
      <c r="W186" s="116"/>
      <c r="X186" s="116"/>
    </row>
    <row r="187" spans="1:24" ht="30">
      <c r="A187" s="1037">
        <v>1</v>
      </c>
      <c r="B187" s="60" t="s">
        <v>1056</v>
      </c>
      <c r="C187" s="2" t="s">
        <v>231</v>
      </c>
      <c r="D187" s="416">
        <v>2391.09</v>
      </c>
      <c r="E187" s="416">
        <v>1178.25</v>
      </c>
      <c r="F187" s="416">
        <v>1300.4000000000001</v>
      </c>
      <c r="G187" s="416">
        <v>1206.5</v>
      </c>
      <c r="H187" s="416">
        <v>780.52</v>
      </c>
      <c r="I187" s="416">
        <v>1203.46</v>
      </c>
      <c r="J187" s="416">
        <v>1197.5</v>
      </c>
      <c r="K187" s="416">
        <v>1201.5</v>
      </c>
      <c r="L187" s="415">
        <v>1201.5</v>
      </c>
      <c r="M187" s="1485"/>
      <c r="N187" s="1485"/>
      <c r="O187" s="1485"/>
      <c r="P187" s="1485"/>
      <c r="Q187" s="1604">
        <f>J187</f>
        <v>1197.5</v>
      </c>
      <c r="R187" s="416">
        <f>J187</f>
        <v>1197.5</v>
      </c>
      <c r="S187" s="416">
        <f>Q187</f>
        <v>1197.5</v>
      </c>
      <c r="T187" s="998"/>
      <c r="U187" s="116"/>
      <c r="V187" s="2684"/>
      <c r="W187" s="116"/>
      <c r="X187" s="116"/>
    </row>
    <row r="188" spans="1:24">
      <c r="A188" s="1037">
        <v>2</v>
      </c>
      <c r="B188" s="1" t="s">
        <v>184</v>
      </c>
      <c r="C188" s="2" t="s">
        <v>232</v>
      </c>
      <c r="D188" s="1"/>
      <c r="E188" s="1"/>
      <c r="F188" s="1"/>
      <c r="G188" s="1"/>
      <c r="H188" s="1"/>
      <c r="I188" s="1"/>
      <c r="J188" s="1"/>
      <c r="K188" s="1"/>
      <c r="L188" s="50"/>
      <c r="M188" s="1481"/>
      <c r="N188" s="1481"/>
      <c r="O188" s="1481"/>
      <c r="P188" s="1481"/>
      <c r="Q188" s="1036"/>
      <c r="R188" s="1"/>
      <c r="S188" s="1"/>
      <c r="T188" s="998"/>
      <c r="U188" s="116"/>
      <c r="V188" s="2684"/>
      <c r="W188" s="116"/>
      <c r="X188" s="116"/>
    </row>
    <row r="189" spans="1:24">
      <c r="A189" s="1037">
        <v>3</v>
      </c>
      <c r="B189" s="1" t="s">
        <v>233</v>
      </c>
      <c r="C189" s="2" t="s">
        <v>234</v>
      </c>
      <c r="D189" s="416">
        <v>1206.5999999999999</v>
      </c>
      <c r="E189" s="416">
        <v>1196.1400000000001</v>
      </c>
      <c r="F189" s="416">
        <v>1395.97</v>
      </c>
      <c r="G189" s="416">
        <v>1316</v>
      </c>
      <c r="H189" s="416">
        <f>1046.39/780.52*1000</f>
        <v>1340.6318864346847</v>
      </c>
      <c r="I189" s="416">
        <f>1705.83/1203.46*1000</f>
        <v>1417.438053612085</v>
      </c>
      <c r="J189" s="416">
        <f>1779/1197.5*1000</f>
        <v>1485.5949895615865</v>
      </c>
      <c r="K189" s="416">
        <f>J189*1.04</f>
        <v>1545.0187891440501</v>
      </c>
      <c r="L189" s="415">
        <f>K189*1.043</f>
        <v>1611.454597077244</v>
      </c>
      <c r="M189" s="1485"/>
      <c r="N189" s="1485"/>
      <c r="O189" s="1485"/>
      <c r="P189" s="1485"/>
      <c r="Q189" s="1604">
        <f>1510*1.02</f>
        <v>1540.2</v>
      </c>
      <c r="R189" s="416">
        <f>Q189*1.03</f>
        <v>1586.4060000000002</v>
      </c>
      <c r="S189" s="416">
        <f>R189*1.03</f>
        <v>1633.9981800000003</v>
      </c>
      <c r="T189" s="998"/>
      <c r="U189" s="116"/>
      <c r="V189" s="2684"/>
      <c r="W189" s="116"/>
      <c r="X189" s="116"/>
    </row>
    <row r="190" spans="1:24" ht="33.75" customHeight="1">
      <c r="A190" s="1038">
        <v>4</v>
      </c>
      <c r="B190" s="60" t="s">
        <v>235</v>
      </c>
      <c r="C190" s="2" t="s">
        <v>236</v>
      </c>
      <c r="D190" s="1"/>
      <c r="E190" s="1"/>
      <c r="F190" s="1"/>
      <c r="G190" s="1"/>
      <c r="H190" s="1"/>
      <c r="I190" s="1"/>
      <c r="J190" s="1"/>
      <c r="K190" s="1"/>
      <c r="L190" s="50"/>
      <c r="M190" s="1481"/>
      <c r="N190" s="1481"/>
      <c r="O190" s="1481"/>
      <c r="P190" s="1481"/>
      <c r="Q190" s="1036"/>
      <c r="R190" s="1"/>
      <c r="S190" s="1"/>
      <c r="T190" s="998"/>
      <c r="U190" s="116"/>
      <c r="V190" s="2684"/>
      <c r="W190" s="116"/>
      <c r="X190" s="116"/>
    </row>
    <row r="191" spans="1:24">
      <c r="A191" s="1038">
        <v>5</v>
      </c>
      <c r="B191" s="60" t="s">
        <v>222</v>
      </c>
      <c r="C191" s="2" t="s">
        <v>11</v>
      </c>
      <c r="D191" s="416">
        <f>D187*D189/1000</f>
        <v>2885.0891940000001</v>
      </c>
      <c r="E191" s="416">
        <f t="shared" ref="E191" si="54">E187*E189/1000</f>
        <v>1409.3519550000001</v>
      </c>
      <c r="F191" s="416">
        <f>F187*F189/1000+0.3</f>
        <v>1815.6193880000003</v>
      </c>
      <c r="G191" s="416">
        <f>G187*G189/1000+0.01</f>
        <v>1587.7639999999999</v>
      </c>
      <c r="H191" s="416">
        <f>H187*H189/1000</f>
        <v>1046.3900000000001</v>
      </c>
      <c r="I191" s="416">
        <f>I187*I189/1000</f>
        <v>1705.8299999999997</v>
      </c>
      <c r="J191" s="416">
        <f>J187*J189/1000+0.77</f>
        <v>1779.77</v>
      </c>
      <c r="K191" s="416">
        <f>K187*K189/1000</f>
        <v>1856.3400751565762</v>
      </c>
      <c r="L191" s="415">
        <f>L187*L189/1000-0.04</f>
        <v>1936.1226983883089</v>
      </c>
      <c r="M191" s="1485"/>
      <c r="N191" s="1485"/>
      <c r="O191" s="1485"/>
      <c r="P191" s="1485"/>
      <c r="Q191" s="1604">
        <f>Q187*Q189/1000</f>
        <v>1844.3895</v>
      </c>
      <c r="R191" s="416">
        <f>R187*R189/1000</f>
        <v>1899.7211850000003</v>
      </c>
      <c r="S191" s="416">
        <f>S187*S189/1000</f>
        <v>1956.7128205500003</v>
      </c>
      <c r="T191" s="998"/>
      <c r="U191" s="116"/>
      <c r="V191" s="2684"/>
      <c r="W191" s="116"/>
      <c r="X191" s="116"/>
    </row>
    <row r="192" spans="1:24">
      <c r="A192" s="1038">
        <v>6</v>
      </c>
      <c r="B192" s="60" t="s">
        <v>223</v>
      </c>
      <c r="C192" s="2" t="s">
        <v>11</v>
      </c>
      <c r="D192" s="1">
        <f t="shared" ref="D192:E192" si="55">D188*D190</f>
        <v>0</v>
      </c>
      <c r="E192" s="1">
        <f t="shared" si="55"/>
        <v>0</v>
      </c>
      <c r="F192" s="1"/>
      <c r="G192" s="1"/>
      <c r="H192" s="1"/>
      <c r="I192" s="1"/>
      <c r="J192" s="1"/>
      <c r="K192" s="1"/>
      <c r="L192" s="50"/>
      <c r="M192" s="1481"/>
      <c r="N192" s="1481"/>
      <c r="O192" s="1481"/>
      <c r="P192" s="1481"/>
      <c r="Q192" s="1036">
        <f>Q188*Q190</f>
        <v>0</v>
      </c>
      <c r="R192" s="1">
        <f>R188*R190</f>
        <v>0</v>
      </c>
      <c r="S192" s="1">
        <f>S188*S190</f>
        <v>0</v>
      </c>
      <c r="T192" s="998"/>
      <c r="U192" s="116"/>
      <c r="V192" s="2684"/>
      <c r="W192" s="116"/>
      <c r="X192" s="116"/>
    </row>
    <row r="193" spans="1:24" ht="30">
      <c r="A193" s="1039">
        <v>7</v>
      </c>
      <c r="B193" s="72" t="s">
        <v>237</v>
      </c>
      <c r="C193" s="85" t="s">
        <v>11</v>
      </c>
      <c r="D193" s="426">
        <f t="shared" ref="D193:L193" si="56">D191+D192</f>
        <v>2885.0891940000001</v>
      </c>
      <c r="E193" s="426">
        <f t="shared" si="56"/>
        <v>1409.3519550000001</v>
      </c>
      <c r="F193" s="426">
        <f t="shared" si="56"/>
        <v>1815.6193880000003</v>
      </c>
      <c r="G193" s="426">
        <f t="shared" si="56"/>
        <v>1587.7639999999999</v>
      </c>
      <c r="H193" s="426">
        <f t="shared" si="56"/>
        <v>1046.3900000000001</v>
      </c>
      <c r="I193" s="426">
        <f t="shared" si="56"/>
        <v>1705.8299999999997</v>
      </c>
      <c r="J193" s="426">
        <f t="shared" si="56"/>
        <v>1779.77</v>
      </c>
      <c r="K193" s="426">
        <f t="shared" si="56"/>
        <v>1856.3400751565762</v>
      </c>
      <c r="L193" s="2651">
        <f t="shared" si="56"/>
        <v>1936.1226983883089</v>
      </c>
      <c r="M193" s="3168"/>
      <c r="N193" s="3168"/>
      <c r="O193" s="3168"/>
      <c r="P193" s="3168"/>
      <c r="Q193" s="2614">
        <f>Q191+Q192</f>
        <v>1844.3895</v>
      </c>
      <c r="R193" s="426">
        <f>R191+R192</f>
        <v>1899.7211850000003</v>
      </c>
      <c r="S193" s="426">
        <f>S191+S192</f>
        <v>1956.7128205500003</v>
      </c>
      <c r="T193" s="998"/>
      <c r="U193" s="116"/>
      <c r="V193" s="2686"/>
      <c r="W193" s="116"/>
      <c r="X193" s="116"/>
    </row>
    <row r="194" spans="1:24">
      <c r="A194" s="1037" t="s">
        <v>225</v>
      </c>
      <c r="B194" s="1" t="s">
        <v>173</v>
      </c>
      <c r="C194" s="2"/>
      <c r="D194" s="416"/>
      <c r="E194" s="416"/>
      <c r="F194" s="416"/>
      <c r="G194" s="416"/>
      <c r="H194" s="416"/>
      <c r="I194" s="416"/>
      <c r="J194" s="416"/>
      <c r="K194" s="416"/>
      <c r="L194" s="415"/>
      <c r="M194" s="1485"/>
      <c r="N194" s="1485"/>
      <c r="O194" s="1485"/>
      <c r="P194" s="1485"/>
      <c r="Q194" s="1604"/>
      <c r="R194" s="416"/>
      <c r="S194" s="416"/>
      <c r="T194" s="998"/>
      <c r="U194" s="116"/>
      <c r="V194" s="2684"/>
      <c r="W194" s="116"/>
      <c r="X194" s="116"/>
    </row>
    <row r="195" spans="1:24" ht="15.75" thickBot="1">
      <c r="A195" s="1040" t="s">
        <v>226</v>
      </c>
      <c r="B195" s="27" t="s">
        <v>173</v>
      </c>
      <c r="C195" s="93"/>
      <c r="D195" s="427"/>
      <c r="E195" s="427"/>
      <c r="F195" s="427"/>
      <c r="G195" s="427"/>
      <c r="H195" s="427"/>
      <c r="I195" s="427"/>
      <c r="J195" s="427"/>
      <c r="K195" s="427"/>
      <c r="L195" s="460"/>
      <c r="M195" s="1487"/>
      <c r="N195" s="1487"/>
      <c r="O195" s="1487"/>
      <c r="P195" s="1487"/>
      <c r="Q195" s="1611"/>
      <c r="R195" s="427"/>
      <c r="S195" s="427"/>
      <c r="T195" s="998"/>
      <c r="U195" s="116"/>
      <c r="V195" s="2684"/>
      <c r="W195" s="116"/>
      <c r="X195" s="116"/>
    </row>
    <row r="196" spans="1:24" ht="15.75" thickBot="1">
      <c r="A196" s="78"/>
      <c r="B196" s="77" t="s">
        <v>157</v>
      </c>
      <c r="C196" s="95" t="s">
        <v>11</v>
      </c>
      <c r="D196" s="430">
        <f t="shared" ref="D196:L196" si="57">D193+D194+D195</f>
        <v>2885.0891940000001</v>
      </c>
      <c r="E196" s="430">
        <f t="shared" si="57"/>
        <v>1409.3519550000001</v>
      </c>
      <c r="F196" s="430">
        <f t="shared" si="57"/>
        <v>1815.6193880000003</v>
      </c>
      <c r="G196" s="430">
        <f t="shared" si="57"/>
        <v>1587.7639999999999</v>
      </c>
      <c r="H196" s="430">
        <f t="shared" si="57"/>
        <v>1046.3900000000001</v>
      </c>
      <c r="I196" s="430">
        <f t="shared" si="57"/>
        <v>1705.8299999999997</v>
      </c>
      <c r="J196" s="430">
        <f t="shared" si="57"/>
        <v>1779.77</v>
      </c>
      <c r="K196" s="430">
        <f t="shared" si="57"/>
        <v>1856.3400751565762</v>
      </c>
      <c r="L196" s="2645">
        <f t="shared" si="57"/>
        <v>1936.1226983883089</v>
      </c>
      <c r="M196" s="3170"/>
      <c r="N196" s="3170"/>
      <c r="O196" s="3170"/>
      <c r="P196" s="3170"/>
      <c r="Q196" s="509">
        <f>Q193+Q194+Q195</f>
        <v>1844.3895</v>
      </c>
      <c r="R196" s="430">
        <f>R193+R194+R195</f>
        <v>1899.7211850000003</v>
      </c>
      <c r="S196" s="430">
        <f>S193+S194+S195</f>
        <v>1956.7128205500003</v>
      </c>
      <c r="T196" s="1098"/>
      <c r="U196" s="116"/>
      <c r="V196" s="2686"/>
      <c r="W196" s="116"/>
      <c r="X196" s="116"/>
    </row>
    <row r="197" spans="1:24">
      <c r="U197" s="116"/>
      <c r="V197" s="116"/>
      <c r="W197" s="116"/>
      <c r="X197" s="116"/>
    </row>
    <row r="198" spans="1:24">
      <c r="F198" s="3457" t="s">
        <v>238</v>
      </c>
      <c r="G198" s="3457"/>
      <c r="H198" s="3457"/>
      <c r="I198" s="3457"/>
      <c r="J198" s="3457"/>
      <c r="K198" s="3457"/>
      <c r="L198" s="3457"/>
      <c r="M198" s="3457"/>
      <c r="N198" s="3457"/>
      <c r="O198" s="3457"/>
      <c r="P198" s="3457"/>
      <c r="Q198" s="3457"/>
      <c r="R198" s="3457"/>
      <c r="S198" s="3457"/>
    </row>
    <row r="199" spans="1:24">
      <c r="F199" s="3457" t="s">
        <v>169</v>
      </c>
      <c r="G199" s="3457"/>
      <c r="H199" s="3457"/>
      <c r="I199" s="3457"/>
      <c r="J199" s="3457"/>
      <c r="K199" s="3457"/>
      <c r="L199" s="3457"/>
      <c r="M199" s="3457"/>
      <c r="N199" s="3457"/>
      <c r="O199" s="3457"/>
      <c r="P199" s="3457"/>
      <c r="Q199" s="3457"/>
      <c r="R199" s="3457"/>
      <c r="S199" s="3457"/>
    </row>
    <row r="200" spans="1:24">
      <c r="F200" s="58" t="s">
        <v>294</v>
      </c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</row>
    <row r="201" spans="1:24" hidden="1">
      <c r="F201" s="3457" t="s">
        <v>170</v>
      </c>
      <c r="G201" s="3457"/>
      <c r="H201" s="3457"/>
      <c r="I201" s="3457"/>
      <c r="J201" s="3457"/>
      <c r="K201" s="3457"/>
      <c r="L201" s="3457"/>
      <c r="M201" s="3457"/>
      <c r="N201" s="3457"/>
      <c r="O201" s="3457"/>
      <c r="P201" s="3457"/>
      <c r="Q201" s="3457"/>
      <c r="R201" s="3457"/>
      <c r="S201" s="3457"/>
    </row>
    <row r="202" spans="1:24" hidden="1"/>
    <row r="203" spans="1:24" ht="15.75" hidden="1" thickBot="1">
      <c r="A203" s="59" t="s">
        <v>526</v>
      </c>
    </row>
    <row r="204" spans="1:24" ht="15.75" hidden="1" thickBot="1">
      <c r="A204" s="3389" t="s">
        <v>0</v>
      </c>
      <c r="B204" s="3389" t="s">
        <v>1</v>
      </c>
      <c r="C204" s="3389" t="s">
        <v>2</v>
      </c>
      <c r="D204" s="3432" t="s">
        <v>165</v>
      </c>
      <c r="E204" s="3433"/>
      <c r="F204" s="3433"/>
      <c r="G204" s="3433"/>
      <c r="H204" s="3433"/>
      <c r="I204" s="3433"/>
      <c r="J204" s="3433"/>
      <c r="K204" s="3433"/>
      <c r="L204" s="3433"/>
      <c r="M204" s="3433"/>
      <c r="N204" s="3433"/>
      <c r="O204" s="3433"/>
      <c r="P204" s="3433"/>
      <c r="Q204" s="3433"/>
      <c r="R204" s="3434"/>
      <c r="S204" s="3433" t="s">
        <v>166</v>
      </c>
      <c r="T204" s="3433"/>
      <c r="U204" s="3434"/>
      <c r="V204" s="3432" t="s">
        <v>1059</v>
      </c>
      <c r="W204" s="3434"/>
    </row>
    <row r="205" spans="1:24" ht="15.75" hidden="1" customHeight="1" thickBot="1">
      <c r="A205" s="3401"/>
      <c r="B205" s="3401"/>
      <c r="C205" s="3401"/>
      <c r="D205" s="3418" t="s">
        <v>1196</v>
      </c>
      <c r="E205" s="3419"/>
      <c r="F205" s="3418">
        <v>2015</v>
      </c>
      <c r="G205" s="3419"/>
      <c r="H205" s="1969"/>
      <c r="I205" s="1969"/>
      <c r="J205" s="3389" t="s">
        <v>394</v>
      </c>
      <c r="K205" s="3389" t="s">
        <v>395</v>
      </c>
      <c r="L205" s="3389" t="s">
        <v>1155</v>
      </c>
      <c r="M205" s="3077"/>
      <c r="N205" s="3077"/>
      <c r="O205" s="3077"/>
      <c r="P205" s="3077"/>
      <c r="Q205" s="3389" t="s">
        <v>394</v>
      </c>
      <c r="R205" s="3389" t="s">
        <v>395</v>
      </c>
      <c r="S205" s="3495" t="s">
        <v>167</v>
      </c>
      <c r="T205" s="3389" t="s">
        <v>394</v>
      </c>
      <c r="U205" s="3389" t="s">
        <v>395</v>
      </c>
      <c r="V205" s="3642" t="s">
        <v>1060</v>
      </c>
      <c r="W205" s="3389" t="s">
        <v>1061</v>
      </c>
    </row>
    <row r="206" spans="1:24" ht="15.75" hidden="1" thickBot="1">
      <c r="A206" s="3390"/>
      <c r="B206" s="3390"/>
      <c r="C206" s="3390"/>
      <c r="D206" s="1535" t="s">
        <v>5</v>
      </c>
      <c r="E206" s="4" t="s">
        <v>6</v>
      </c>
      <c r="F206" s="4" t="s">
        <v>7</v>
      </c>
      <c r="G206" s="4" t="s">
        <v>8</v>
      </c>
      <c r="H206" s="1967"/>
      <c r="I206" s="1967"/>
      <c r="J206" s="3390"/>
      <c r="K206" s="3390"/>
      <c r="L206" s="3390"/>
      <c r="M206" s="3078"/>
      <c r="N206" s="3078"/>
      <c r="O206" s="3078"/>
      <c r="P206" s="3078"/>
      <c r="Q206" s="3390"/>
      <c r="R206" s="3390"/>
      <c r="S206" s="3496"/>
      <c r="T206" s="3390"/>
      <c r="U206" s="3390"/>
      <c r="V206" s="3643"/>
      <c r="W206" s="3401"/>
    </row>
    <row r="207" spans="1:24" hidden="1">
      <c r="A207" s="534">
        <v>1</v>
      </c>
      <c r="B207" s="3">
        <v>2</v>
      </c>
      <c r="C207" s="3">
        <v>3</v>
      </c>
      <c r="D207" s="3">
        <v>4</v>
      </c>
      <c r="E207" s="3">
        <v>5</v>
      </c>
      <c r="F207" s="3">
        <v>6</v>
      </c>
      <c r="G207" s="3">
        <v>7</v>
      </c>
      <c r="H207" s="51" t="s">
        <v>1377</v>
      </c>
      <c r="I207" s="51" t="s">
        <v>1378</v>
      </c>
      <c r="J207" s="49"/>
      <c r="K207" s="49"/>
      <c r="L207" s="51">
        <v>8</v>
      </c>
      <c r="M207" s="49"/>
      <c r="N207" s="49"/>
      <c r="O207" s="49"/>
      <c r="P207" s="49"/>
      <c r="Q207" s="49">
        <v>9</v>
      </c>
      <c r="R207" s="506">
        <v>10</v>
      </c>
      <c r="S207" s="993">
        <v>11</v>
      </c>
      <c r="T207" s="25">
        <v>12</v>
      </c>
      <c r="U207" s="25">
        <v>13</v>
      </c>
      <c r="V207" s="1298"/>
      <c r="W207" s="1"/>
    </row>
    <row r="208" spans="1:24" hidden="1">
      <c r="A208" s="1036" t="s">
        <v>172</v>
      </c>
      <c r="B208" s="1" t="s">
        <v>173</v>
      </c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998"/>
      <c r="S208" s="995"/>
      <c r="T208" s="1"/>
      <c r="U208" s="1"/>
      <c r="V208" s="1298"/>
      <c r="W208" s="1"/>
    </row>
    <row r="209" spans="1:23" hidden="1">
      <c r="A209" s="1037">
        <v>1</v>
      </c>
      <c r="B209" s="1" t="s">
        <v>239</v>
      </c>
      <c r="C209" s="92" t="s">
        <v>146</v>
      </c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998"/>
      <c r="S209" s="995"/>
      <c r="T209" s="1"/>
      <c r="U209" s="1"/>
      <c r="V209" s="1298"/>
      <c r="W209" s="1"/>
    </row>
    <row r="210" spans="1:23" hidden="1">
      <c r="A210" s="1037">
        <v>2</v>
      </c>
      <c r="B210" s="1" t="s">
        <v>240</v>
      </c>
      <c r="C210" s="92" t="s">
        <v>143</v>
      </c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998"/>
      <c r="S210" s="995"/>
      <c r="T210" s="1"/>
      <c r="U210" s="1"/>
      <c r="V210" s="1298"/>
      <c r="W210" s="1"/>
    </row>
    <row r="211" spans="1:23" hidden="1">
      <c r="A211" s="1039">
        <v>3</v>
      </c>
      <c r="B211" s="39" t="s">
        <v>241</v>
      </c>
      <c r="C211" s="96" t="s">
        <v>11</v>
      </c>
      <c r="D211" s="39">
        <f t="shared" ref="D211:U211" si="58">D209*D210</f>
        <v>0</v>
      </c>
      <c r="E211" s="39">
        <f t="shared" si="58"/>
        <v>0</v>
      </c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1043"/>
      <c r="S211" s="1009">
        <f t="shared" si="58"/>
        <v>0</v>
      </c>
      <c r="T211" s="39">
        <f t="shared" si="58"/>
        <v>0</v>
      </c>
      <c r="U211" s="39">
        <f t="shared" si="58"/>
        <v>0</v>
      </c>
      <c r="V211" s="1298"/>
      <c r="W211" s="1"/>
    </row>
    <row r="212" spans="1:23" hidden="1">
      <c r="A212" s="1037" t="s">
        <v>225</v>
      </c>
      <c r="B212" s="1" t="s">
        <v>173</v>
      </c>
      <c r="C212" s="9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998"/>
      <c r="S212" s="995"/>
      <c r="T212" s="1"/>
      <c r="U212" s="1"/>
      <c r="V212" s="1298"/>
      <c r="W212" s="1"/>
    </row>
    <row r="213" spans="1:23" ht="15.75" hidden="1" thickBot="1">
      <c r="A213" s="1036" t="s">
        <v>226</v>
      </c>
      <c r="B213" s="1" t="s">
        <v>173</v>
      </c>
      <c r="C213" s="9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998"/>
      <c r="S213" s="995"/>
      <c r="T213" s="1"/>
      <c r="U213" s="1"/>
      <c r="V213" s="1299"/>
      <c r="W213" s="27"/>
    </row>
    <row r="214" spans="1:23" ht="15.75" hidden="1" thickBot="1">
      <c r="A214" s="78"/>
      <c r="B214" s="77" t="s">
        <v>157</v>
      </c>
      <c r="C214" s="95" t="s">
        <v>11</v>
      </c>
      <c r="D214" s="77">
        <f t="shared" ref="D214:U214" si="59">D211+D212+D213</f>
        <v>0</v>
      </c>
      <c r="E214" s="77">
        <f t="shared" si="59"/>
        <v>0</v>
      </c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617"/>
      <c r="S214" s="1042">
        <f t="shared" si="59"/>
        <v>0</v>
      </c>
      <c r="T214" s="77">
        <f t="shared" si="59"/>
        <v>0</v>
      </c>
      <c r="U214" s="77">
        <f t="shared" si="59"/>
        <v>0</v>
      </c>
      <c r="V214" s="1300"/>
      <c r="W214" s="1296"/>
    </row>
    <row r="216" spans="1:23">
      <c r="F216" s="3457" t="s">
        <v>242</v>
      </c>
      <c r="G216" s="3457"/>
      <c r="H216" s="3457"/>
      <c r="I216" s="3457"/>
      <c r="J216" s="3457"/>
      <c r="K216" s="3457"/>
      <c r="L216" s="3457"/>
      <c r="M216" s="3457"/>
      <c r="N216" s="3457"/>
      <c r="O216" s="3457"/>
      <c r="P216" s="3457"/>
      <c r="Q216" s="3457"/>
      <c r="R216" s="3457"/>
      <c r="S216" s="3457"/>
    </row>
    <row r="217" spans="1:23">
      <c r="F217" s="3457" t="s">
        <v>169</v>
      </c>
      <c r="G217" s="3457"/>
      <c r="H217" s="3457"/>
      <c r="I217" s="3457"/>
      <c r="J217" s="3457"/>
      <c r="K217" s="3457"/>
      <c r="L217" s="3457"/>
      <c r="M217" s="3457"/>
      <c r="N217" s="3457"/>
      <c r="O217" s="3457"/>
      <c r="P217" s="3457"/>
      <c r="Q217" s="3457"/>
      <c r="R217" s="3457"/>
      <c r="S217" s="3457"/>
    </row>
    <row r="218" spans="1:23">
      <c r="F218" s="58" t="s">
        <v>294</v>
      </c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</row>
    <row r="219" spans="1:23">
      <c r="F219" s="3457" t="s">
        <v>170</v>
      </c>
      <c r="G219" s="3457"/>
      <c r="H219" s="3457"/>
      <c r="I219" s="3457"/>
      <c r="J219" s="3457"/>
      <c r="K219" s="3457"/>
      <c r="L219" s="3457"/>
      <c r="M219" s="3457"/>
      <c r="N219" s="3457"/>
      <c r="O219" s="3457"/>
      <c r="P219" s="3457"/>
      <c r="Q219" s="3457"/>
      <c r="R219" s="3457"/>
      <c r="S219" s="3457"/>
    </row>
    <row r="221" spans="1:23" ht="15.75" thickBot="1">
      <c r="A221" s="59" t="s">
        <v>1785</v>
      </c>
    </row>
    <row r="222" spans="1:23" ht="15.75" thickBot="1">
      <c r="A222" s="3389" t="s">
        <v>0</v>
      </c>
      <c r="B222" s="3389" t="s">
        <v>1</v>
      </c>
      <c r="C222" s="3389" t="s">
        <v>2</v>
      </c>
      <c r="D222" s="3432" t="s">
        <v>165</v>
      </c>
      <c r="E222" s="3433"/>
      <c r="F222" s="3433"/>
      <c r="G222" s="3433"/>
      <c r="H222" s="3433"/>
      <c r="I222" s="3433"/>
      <c r="J222" s="3433"/>
      <c r="K222" s="3433"/>
      <c r="L222" s="3433"/>
      <c r="M222" s="3081"/>
      <c r="N222" s="3081"/>
      <c r="O222" s="3081"/>
      <c r="P222" s="3081"/>
      <c r="Q222" s="3432" t="s">
        <v>1460</v>
      </c>
      <c r="R222" s="3433"/>
      <c r="S222" s="3433"/>
      <c r="T222" s="3434"/>
      <c r="U222" s="2683"/>
      <c r="V222" s="3449"/>
      <c r="W222" s="3449"/>
    </row>
    <row r="223" spans="1:23" ht="15.75" customHeight="1" thickBot="1">
      <c r="A223" s="3401"/>
      <c r="B223" s="3401"/>
      <c r="C223" s="3401"/>
      <c r="D223" s="3418" t="s">
        <v>1196</v>
      </c>
      <c r="E223" s="3419"/>
      <c r="F223" s="3418">
        <v>2015</v>
      </c>
      <c r="G223" s="3419"/>
      <c r="H223" s="3389" t="s">
        <v>1375</v>
      </c>
      <c r="I223" s="3389" t="s">
        <v>1376</v>
      </c>
      <c r="J223" s="3389" t="s">
        <v>394</v>
      </c>
      <c r="K223" s="3389" t="s">
        <v>395</v>
      </c>
      <c r="L223" s="3387" t="s">
        <v>1155</v>
      </c>
      <c r="M223" s="3075"/>
      <c r="N223" s="3075"/>
      <c r="O223" s="3075"/>
      <c r="P223" s="3075"/>
      <c r="Q223" s="3389" t="s">
        <v>394</v>
      </c>
      <c r="R223" s="3389" t="s">
        <v>395</v>
      </c>
      <c r="S223" s="3495" t="s">
        <v>1155</v>
      </c>
      <c r="T223" s="3389" t="s">
        <v>1061</v>
      </c>
      <c r="U223" s="3631"/>
      <c r="V223" s="3631"/>
      <c r="W223" s="3631"/>
    </row>
    <row r="224" spans="1:23" ht="29.25" customHeight="1" thickBot="1">
      <c r="A224" s="3390"/>
      <c r="B224" s="3390"/>
      <c r="C224" s="3390"/>
      <c r="D224" s="1535" t="s">
        <v>5</v>
      </c>
      <c r="E224" s="4" t="s">
        <v>6</v>
      </c>
      <c r="F224" s="4" t="s">
        <v>7</v>
      </c>
      <c r="G224" s="4" t="s">
        <v>8</v>
      </c>
      <c r="H224" s="3390"/>
      <c r="I224" s="3390"/>
      <c r="J224" s="3390"/>
      <c r="K224" s="3390"/>
      <c r="L224" s="3388"/>
      <c r="M224" s="3076"/>
      <c r="N224" s="3076"/>
      <c r="O224" s="3076"/>
      <c r="P224" s="3076"/>
      <c r="Q224" s="3390"/>
      <c r="R224" s="3390"/>
      <c r="S224" s="3496"/>
      <c r="T224" s="3390"/>
      <c r="U224" s="3631"/>
      <c r="V224" s="3631"/>
      <c r="W224" s="3631"/>
    </row>
    <row r="225" spans="1:23">
      <c r="A225" s="534">
        <v>1</v>
      </c>
      <c r="B225" s="3">
        <v>2</v>
      </c>
      <c r="C225" s="3">
        <v>3</v>
      </c>
      <c r="D225" s="3">
        <v>4</v>
      </c>
      <c r="E225" s="3">
        <v>5</v>
      </c>
      <c r="F225" s="3">
        <v>6</v>
      </c>
      <c r="G225" s="3">
        <v>7</v>
      </c>
      <c r="H225" s="49">
        <v>8</v>
      </c>
      <c r="I225" s="49">
        <v>9</v>
      </c>
      <c r="J225" s="49">
        <v>10</v>
      </c>
      <c r="K225" s="49">
        <v>11</v>
      </c>
      <c r="L225" s="51">
        <v>12</v>
      </c>
      <c r="M225" s="3143"/>
      <c r="N225" s="3143"/>
      <c r="O225" s="3143"/>
      <c r="P225" s="3143"/>
      <c r="Q225" s="1147">
        <v>13</v>
      </c>
      <c r="R225" s="506">
        <v>14</v>
      </c>
      <c r="S225" s="993">
        <v>15</v>
      </c>
      <c r="T225" s="2632">
        <v>16</v>
      </c>
      <c r="U225" s="116"/>
      <c r="V225" s="2684"/>
      <c r="W225" s="116"/>
    </row>
    <row r="226" spans="1:23">
      <c r="A226" s="1037">
        <v>1</v>
      </c>
      <c r="B226" s="1" t="s">
        <v>243</v>
      </c>
      <c r="D226" s="1"/>
      <c r="E226" s="1"/>
      <c r="F226" s="1"/>
      <c r="G226" s="1"/>
      <c r="H226" s="1"/>
      <c r="I226" s="1"/>
      <c r="J226" s="1"/>
      <c r="K226" s="1"/>
      <c r="L226" s="50"/>
      <c r="M226" s="1481"/>
      <c r="N226" s="1481"/>
      <c r="O226" s="1481"/>
      <c r="P226" s="1481"/>
      <c r="Q226" s="1036"/>
      <c r="R226" s="998"/>
      <c r="S226" s="995"/>
      <c r="T226" s="998"/>
      <c r="U226" s="116"/>
      <c r="V226" s="2684"/>
      <c r="W226" s="116"/>
    </row>
    <row r="227" spans="1:23" ht="45">
      <c r="A227" s="521" t="s">
        <v>10</v>
      </c>
      <c r="B227" s="60" t="s">
        <v>244</v>
      </c>
      <c r="C227" s="2" t="s">
        <v>1039</v>
      </c>
      <c r="D227" s="416">
        <v>136.51</v>
      </c>
      <c r="E227" s="416">
        <v>20.3</v>
      </c>
      <c r="F227" s="416">
        <v>108.4911802</v>
      </c>
      <c r="G227" s="416">
        <f>344*0.961*0.4</f>
        <v>132.2336</v>
      </c>
      <c r="H227" s="416">
        <f>331.5*0.96*0.41/2</f>
        <v>65.239199999999997</v>
      </c>
      <c r="I227" s="416">
        <f>H227*2</f>
        <v>130.47839999999999</v>
      </c>
      <c r="J227" s="416">
        <f>I227</f>
        <v>130.47839999999999</v>
      </c>
      <c r="K227" s="416">
        <f>J227</f>
        <v>130.47839999999999</v>
      </c>
      <c r="L227" s="415">
        <f>K227</f>
        <v>130.47839999999999</v>
      </c>
      <c r="M227" s="1485"/>
      <c r="N227" s="1485"/>
      <c r="O227" s="1485"/>
      <c r="P227" s="1485"/>
      <c r="Q227" s="1604">
        <v>90</v>
      </c>
      <c r="R227" s="1030">
        <v>90</v>
      </c>
      <c r="S227" s="995">
        <v>90</v>
      </c>
      <c r="T227" s="2295" t="s">
        <v>1746</v>
      </c>
      <c r="U227" s="116"/>
      <c r="V227" s="2684"/>
      <c r="W227" s="116"/>
    </row>
    <row r="228" spans="1:23">
      <c r="A228" s="1045" t="s">
        <v>18</v>
      </c>
      <c r="B228" s="1" t="s">
        <v>245</v>
      </c>
      <c r="C228" s="618" t="s">
        <v>1040</v>
      </c>
      <c r="D228" s="416">
        <v>4520.96</v>
      </c>
      <c r="E228" s="416">
        <v>3312.6</v>
      </c>
      <c r="F228" s="416">
        <v>4204.1750000000002</v>
      </c>
      <c r="G228" s="416">
        <f>1428.5/344*1000</f>
        <v>4152.6162790697672</v>
      </c>
      <c r="H228" s="416">
        <v>4360</v>
      </c>
      <c r="I228" s="416">
        <v>4360</v>
      </c>
      <c r="J228" s="416">
        <f>I228*1.045</f>
        <v>4556.2</v>
      </c>
      <c r="K228" s="416">
        <f>J228*1.043</f>
        <v>4752.1165999999994</v>
      </c>
      <c r="L228" s="415">
        <f>K228*1.043</f>
        <v>4956.4576137999993</v>
      </c>
      <c r="M228" s="1485"/>
      <c r="N228" s="1485"/>
      <c r="O228" s="1485"/>
      <c r="P228" s="1485"/>
      <c r="Q228" s="1604">
        <f>'расшифровки ВС_2016'!M209</f>
        <v>4578</v>
      </c>
      <c r="R228" s="1604">
        <f>'расшифровки ВС_2016'!N209</f>
        <v>4907.616</v>
      </c>
      <c r="S228" s="1604">
        <f>'расшифровки ВС_2016'!O209</f>
        <v>5192.2577280000005</v>
      </c>
      <c r="T228" s="998"/>
      <c r="U228" s="116"/>
      <c r="V228" s="2684"/>
      <c r="W228" s="116"/>
    </row>
    <row r="229" spans="1:23">
      <c r="A229" s="1046" t="s">
        <v>30</v>
      </c>
      <c r="B229" s="40" t="s">
        <v>246</v>
      </c>
      <c r="C229" s="90" t="s">
        <v>11</v>
      </c>
      <c r="D229" s="433">
        <f t="shared" ref="D229:S229" si="60">D227*D228/1000</f>
        <v>617.15624960000002</v>
      </c>
      <c r="E229" s="433">
        <f t="shared" si="60"/>
        <v>67.245779999999996</v>
      </c>
      <c r="F229" s="433">
        <v>456.11590751733502</v>
      </c>
      <c r="G229" s="433">
        <f t="shared" si="60"/>
        <v>549.11539999999991</v>
      </c>
      <c r="H229" s="433">
        <f t="shared" si="60"/>
        <v>284.44291200000004</v>
      </c>
      <c r="I229" s="433">
        <f t="shared" si="60"/>
        <v>568.88582400000007</v>
      </c>
      <c r="J229" s="433">
        <f t="shared" si="60"/>
        <v>594.48568607999994</v>
      </c>
      <c r="K229" s="433">
        <f t="shared" si="60"/>
        <v>620.04857058143989</v>
      </c>
      <c r="L229" s="2623">
        <f t="shared" si="60"/>
        <v>646.71065911644189</v>
      </c>
      <c r="M229" s="3161"/>
      <c r="N229" s="3161"/>
      <c r="O229" s="3161"/>
      <c r="P229" s="3161"/>
      <c r="Q229" s="2626">
        <f>Q227*Q228/1000</f>
        <v>412.02</v>
      </c>
      <c r="R229" s="2626">
        <f>R227*R228/1000</f>
        <v>441.68544000000003</v>
      </c>
      <c r="S229" s="433">
        <f t="shared" si="60"/>
        <v>467.30319552000009</v>
      </c>
      <c r="T229" s="1047"/>
      <c r="U229" s="1290"/>
      <c r="V229" s="1290"/>
      <c r="W229" s="116"/>
    </row>
    <row r="230" spans="1:23">
      <c r="A230" s="1045" t="s">
        <v>50</v>
      </c>
      <c r="B230" s="1" t="s">
        <v>247</v>
      </c>
      <c r="C230" s="92"/>
      <c r="D230" s="416"/>
      <c r="E230" s="416"/>
      <c r="F230" s="416"/>
      <c r="G230" s="416"/>
      <c r="H230" s="416"/>
      <c r="I230" s="416"/>
      <c r="J230" s="416"/>
      <c r="K230" s="416"/>
      <c r="L230" s="415"/>
      <c r="M230" s="1485"/>
      <c r="N230" s="1485"/>
      <c r="O230" s="1485"/>
      <c r="P230" s="1485"/>
      <c r="Q230" s="1604"/>
      <c r="R230" s="1030"/>
      <c r="S230" s="995"/>
      <c r="T230" s="998"/>
      <c r="U230" s="116"/>
      <c r="V230" s="2684"/>
      <c r="W230" s="116"/>
    </row>
    <row r="231" spans="1:23" ht="42.75" customHeight="1">
      <c r="A231" s="521" t="s">
        <v>52</v>
      </c>
      <c r="B231" s="60" t="s">
        <v>244</v>
      </c>
      <c r="C231" s="92" t="s">
        <v>1043</v>
      </c>
      <c r="D231" s="416">
        <v>15.97</v>
      </c>
      <c r="E231" s="416">
        <v>13.3</v>
      </c>
      <c r="F231" s="416">
        <v>13.04064</v>
      </c>
      <c r="G231" s="416">
        <f>36.4*0.96*0.4</f>
        <v>13.977599999999999</v>
      </c>
      <c r="H231" s="416">
        <f>233.49*0.96*0.41/2</f>
        <v>45.950831999999998</v>
      </c>
      <c r="I231" s="416">
        <f>H231*2</f>
        <v>91.901663999999997</v>
      </c>
      <c r="J231" s="416">
        <f>I231*1.05</f>
        <v>96.496747200000001</v>
      </c>
      <c r="K231" s="416">
        <f>J231</f>
        <v>96.496747200000001</v>
      </c>
      <c r="L231" s="415">
        <f>K231</f>
        <v>96.496747200000001</v>
      </c>
      <c r="M231" s="1485"/>
      <c r="N231" s="1485"/>
      <c r="O231" s="1485"/>
      <c r="P231" s="1485"/>
      <c r="Q231" s="1604">
        <f>F231</f>
        <v>13.04064</v>
      </c>
      <c r="R231" s="1030">
        <f>Q231</f>
        <v>13.04064</v>
      </c>
      <c r="S231" s="1034">
        <f>R231</f>
        <v>13.04064</v>
      </c>
      <c r="T231" s="2295" t="s">
        <v>1747</v>
      </c>
      <c r="U231" s="116"/>
      <c r="V231" s="2684"/>
      <c r="W231" s="116"/>
    </row>
    <row r="232" spans="1:23">
      <c r="A232" s="1045" t="s">
        <v>54</v>
      </c>
      <c r="B232" s="1" t="s">
        <v>245</v>
      </c>
      <c r="C232" s="166" t="s">
        <v>1044</v>
      </c>
      <c r="D232" s="416">
        <v>4591.3500000000004</v>
      </c>
      <c r="E232" s="416">
        <v>4616.54</v>
      </c>
      <c r="F232" s="416">
        <v>4.4887949999999996</v>
      </c>
      <c r="G232" s="416">
        <f>182.3/36.4*1000</f>
        <v>5008.2417582417593</v>
      </c>
      <c r="H232" s="416">
        <v>5010</v>
      </c>
      <c r="I232" s="416">
        <v>5010</v>
      </c>
      <c r="J232" s="416">
        <f>I232*1.045</f>
        <v>5235.45</v>
      </c>
      <c r="K232" s="416">
        <f>J232*1.043</f>
        <v>5460.5743499999999</v>
      </c>
      <c r="L232" s="415">
        <f>K232*1.043</f>
        <v>5695.3790470499998</v>
      </c>
      <c r="M232" s="1485"/>
      <c r="N232" s="1485"/>
      <c r="O232" s="1485"/>
      <c r="P232" s="1485"/>
      <c r="Q232" s="1604">
        <f>'расшифровки ВС_2016'!M213</f>
        <v>5208.5748000000003</v>
      </c>
      <c r="R232" s="1604">
        <f>'расшифровки ВС_2016'!N213</f>
        <v>5567.9664611999997</v>
      </c>
      <c r="S232" s="1604">
        <f>'расшифровки ВС_2016'!O213</f>
        <v>5840.7968177987996</v>
      </c>
      <c r="T232" s="998"/>
      <c r="U232" s="116"/>
      <c r="V232" s="2684"/>
      <c r="W232" s="116"/>
    </row>
    <row r="233" spans="1:23">
      <c r="A233" s="1046" t="s">
        <v>56</v>
      </c>
      <c r="B233" s="40" t="s">
        <v>246</v>
      </c>
      <c r="C233" s="90" t="s">
        <v>11</v>
      </c>
      <c r="D233" s="433">
        <f t="shared" ref="D233:L233" si="61">D231*D232/1000</f>
        <v>73.323859500000012</v>
      </c>
      <c r="E233" s="433">
        <f t="shared" si="61"/>
        <v>61.399982000000001</v>
      </c>
      <c r="F233" s="433">
        <v>58.536759628799992</v>
      </c>
      <c r="G233" s="433">
        <f t="shared" si="61"/>
        <v>70.003200000000007</v>
      </c>
      <c r="H233" s="433">
        <f t="shared" si="61"/>
        <v>230.21366832000001</v>
      </c>
      <c r="I233" s="433">
        <f t="shared" si="61"/>
        <v>460.42733664000002</v>
      </c>
      <c r="J233" s="433">
        <f t="shared" si="61"/>
        <v>505.20389512823999</v>
      </c>
      <c r="K233" s="433">
        <f t="shared" si="61"/>
        <v>526.92766261875431</v>
      </c>
      <c r="L233" s="2623">
        <f t="shared" si="61"/>
        <v>549.5855521113607</v>
      </c>
      <c r="M233" s="3161"/>
      <c r="N233" s="3161"/>
      <c r="O233" s="3161"/>
      <c r="P233" s="3161"/>
      <c r="Q233" s="2626">
        <f>Q231*Q232/1000</f>
        <v>67.923148879872002</v>
      </c>
      <c r="R233" s="2626">
        <f t="shared" ref="R233:S233" si="62">R231*R232/1000</f>
        <v>72.60984615258316</v>
      </c>
      <c r="S233" s="2626">
        <f t="shared" si="62"/>
        <v>76.16772861405974</v>
      </c>
      <c r="T233" s="997"/>
      <c r="U233" s="116"/>
      <c r="V233" s="1290"/>
      <c r="W233" s="116"/>
    </row>
    <row r="234" spans="1:23">
      <c r="A234" s="1037">
        <v>3</v>
      </c>
      <c r="B234" s="1" t="s">
        <v>1504</v>
      </c>
      <c r="C234" s="92"/>
      <c r="D234" s="416"/>
      <c r="E234" s="416"/>
      <c r="F234" s="416"/>
      <c r="G234" s="416"/>
      <c r="H234" s="416"/>
      <c r="I234" s="416"/>
      <c r="J234" s="416"/>
      <c r="K234" s="416"/>
      <c r="L234" s="415"/>
      <c r="M234" s="1485"/>
      <c r="N234" s="1485"/>
      <c r="O234" s="1485"/>
      <c r="P234" s="1485"/>
      <c r="Q234" s="1604"/>
      <c r="R234" s="1030"/>
      <c r="S234" s="995"/>
      <c r="T234" s="998"/>
      <c r="U234" s="116"/>
      <c r="V234" s="2684"/>
      <c r="W234" s="116"/>
    </row>
    <row r="235" spans="1:23" ht="19.5" customHeight="1">
      <c r="A235" s="521" t="s">
        <v>52</v>
      </c>
      <c r="B235" s="60" t="s">
        <v>244</v>
      </c>
      <c r="C235" s="92" t="s">
        <v>1039</v>
      </c>
      <c r="D235" s="416">
        <v>1.54</v>
      </c>
      <c r="E235" s="416">
        <f>4.75*0.4</f>
        <v>1.9000000000000001</v>
      </c>
      <c r="F235" s="416">
        <v>1.5</v>
      </c>
      <c r="G235" s="416">
        <f>5.75*0.4</f>
        <v>2.3000000000000003</v>
      </c>
      <c r="H235" s="416">
        <f>5.75*0.96*0.41/2</f>
        <v>1.1315999999999999</v>
      </c>
      <c r="I235" s="416">
        <f>H235*2</f>
        <v>2.2631999999999999</v>
      </c>
      <c r="J235" s="416">
        <f>I235</f>
        <v>2.2631999999999999</v>
      </c>
      <c r="K235" s="416">
        <f>J235</f>
        <v>2.2631999999999999</v>
      </c>
      <c r="L235" s="415">
        <f>K235</f>
        <v>2.2631999999999999</v>
      </c>
      <c r="M235" s="1485"/>
      <c r="N235" s="1485"/>
      <c r="O235" s="1485"/>
      <c r="P235" s="1485"/>
      <c r="Q235" s="1604">
        <v>1.8</v>
      </c>
      <c r="R235" s="1030">
        <v>1.8</v>
      </c>
      <c r="S235" s="995">
        <v>1.8</v>
      </c>
      <c r="T235" s="998"/>
      <c r="U235" s="116"/>
      <c r="V235" s="2684"/>
      <c r="W235" s="116"/>
    </row>
    <row r="236" spans="1:23">
      <c r="A236" s="1045" t="s">
        <v>54</v>
      </c>
      <c r="B236" s="1" t="s">
        <v>245</v>
      </c>
      <c r="C236" s="92" t="s">
        <v>1045</v>
      </c>
      <c r="D236" s="416">
        <v>24174.77</v>
      </c>
      <c r="E236" s="416">
        <v>23640.1</v>
      </c>
      <c r="F236" s="416">
        <v>26237.75</v>
      </c>
      <c r="G236" s="416">
        <v>24350</v>
      </c>
      <c r="H236" s="416">
        <v>24350</v>
      </c>
      <c r="I236" s="416">
        <v>24350</v>
      </c>
      <c r="J236" s="416">
        <f>I236*1.045</f>
        <v>25445.75</v>
      </c>
      <c r="K236" s="416">
        <f>J236*1.043</f>
        <v>26539.917249999999</v>
      </c>
      <c r="L236" s="415">
        <f>K236*1.043</f>
        <v>27681.133691749998</v>
      </c>
      <c r="M236" s="1485"/>
      <c r="N236" s="1485"/>
      <c r="O236" s="1485"/>
      <c r="P236" s="1485"/>
      <c r="Q236" s="1604">
        <f>'расшифровки ВС_2016'!M217</f>
        <v>25153.55</v>
      </c>
      <c r="R236" s="1604">
        <f>'расшифровки ВС_2016'!N217</f>
        <v>26687.916549999998</v>
      </c>
      <c r="S236" s="1604">
        <f>'расшифровки ВС_2016'!O217</f>
        <v>28342.5673761</v>
      </c>
      <c r="T236" s="998"/>
      <c r="U236" s="116"/>
      <c r="V236" s="2684"/>
      <c r="W236" s="116"/>
    </row>
    <row r="237" spans="1:23" ht="15.75" thickBot="1">
      <c r="A237" s="1048" t="s">
        <v>56</v>
      </c>
      <c r="B237" s="87" t="s">
        <v>246</v>
      </c>
      <c r="C237" s="97" t="s">
        <v>11</v>
      </c>
      <c r="D237" s="434">
        <f>D235*D236/1000</f>
        <v>37.229145799999998</v>
      </c>
      <c r="E237" s="434">
        <f t="shared" ref="E237:T237" si="63">E235*E236/1000</f>
        <v>44.91619</v>
      </c>
      <c r="F237" s="434">
        <v>39.356625000000001</v>
      </c>
      <c r="G237" s="434">
        <f t="shared" si="63"/>
        <v>56.00500000000001</v>
      </c>
      <c r="H237" s="434">
        <f t="shared" si="63"/>
        <v>27.554459999999999</v>
      </c>
      <c r="I237" s="434">
        <f t="shared" si="63"/>
        <v>55.108919999999998</v>
      </c>
      <c r="J237" s="434">
        <f t="shared" si="63"/>
        <v>57.588821399999993</v>
      </c>
      <c r="K237" s="434">
        <f t="shared" si="63"/>
        <v>60.065140720199992</v>
      </c>
      <c r="L237" s="2923">
        <f t="shared" si="63"/>
        <v>62.64794177116859</v>
      </c>
      <c r="M237" s="3171"/>
      <c r="N237" s="3171"/>
      <c r="O237" s="3171"/>
      <c r="P237" s="3171"/>
      <c r="Q237" s="2925">
        <f>Q235*Q236/1000</f>
        <v>45.276389999999999</v>
      </c>
      <c r="R237" s="2925">
        <f>R235*R236/1000</f>
        <v>48.038249789999995</v>
      </c>
      <c r="S237" s="434">
        <f t="shared" si="63"/>
        <v>51.016621276980004</v>
      </c>
      <c r="T237" s="2926">
        <f t="shared" si="63"/>
        <v>0</v>
      </c>
      <c r="U237" s="1290"/>
      <c r="V237" s="1290"/>
      <c r="W237" s="116"/>
    </row>
    <row r="238" spans="1:23" ht="15.75" thickBot="1">
      <c r="A238" s="88"/>
      <c r="B238" s="77" t="s">
        <v>157</v>
      </c>
      <c r="C238" s="95" t="s">
        <v>11</v>
      </c>
      <c r="D238" s="430">
        <f>D229+D233+D237-0.07</f>
        <v>727.63925489999997</v>
      </c>
      <c r="E238" s="430">
        <f>E229+E233+E237-0.07</f>
        <v>173.491952</v>
      </c>
      <c r="F238" s="430">
        <v>554.00929214613507</v>
      </c>
      <c r="G238" s="430">
        <f t="shared" ref="G238:T238" si="64">G229+G233+G237</f>
        <v>675.1235999999999</v>
      </c>
      <c r="H238" s="430">
        <f t="shared" si="64"/>
        <v>542.21104032000005</v>
      </c>
      <c r="I238" s="430">
        <f t="shared" si="64"/>
        <v>1084.4220806400001</v>
      </c>
      <c r="J238" s="430">
        <f t="shared" si="64"/>
        <v>1157.2784026082397</v>
      </c>
      <c r="K238" s="430">
        <f t="shared" si="64"/>
        <v>1207.0413739203941</v>
      </c>
      <c r="L238" s="2645">
        <f t="shared" si="64"/>
        <v>1258.9441529989713</v>
      </c>
      <c r="M238" s="2645"/>
      <c r="N238" s="2645"/>
      <c r="O238" s="2645"/>
      <c r="P238" s="2645"/>
      <c r="Q238" s="2645">
        <f t="shared" si="64"/>
        <v>525.21953887987195</v>
      </c>
      <c r="R238" s="2645">
        <f t="shared" si="64"/>
        <v>562.33353594258324</v>
      </c>
      <c r="S238" s="1044">
        <f t="shared" si="64"/>
        <v>594.48754541103983</v>
      </c>
      <c r="T238" s="1033">
        <f t="shared" si="64"/>
        <v>0</v>
      </c>
      <c r="U238" s="2422"/>
      <c r="V238" s="2924"/>
      <c r="W238" s="116"/>
    </row>
    <row r="239" spans="1:23" ht="35.25" customHeight="1">
      <c r="U239" s="116"/>
      <c r="V239" s="116"/>
      <c r="W239" s="116"/>
    </row>
    <row r="240" spans="1:23" hidden="1">
      <c r="F240" s="3457" t="s">
        <v>248</v>
      </c>
      <c r="G240" s="3457"/>
      <c r="H240" s="3457"/>
      <c r="I240" s="3457"/>
      <c r="J240" s="3457"/>
      <c r="K240" s="3457"/>
      <c r="L240" s="3457"/>
      <c r="M240" s="3457"/>
      <c r="N240" s="3457"/>
      <c r="O240" s="3457"/>
      <c r="P240" s="3457"/>
      <c r="Q240" s="3457"/>
      <c r="R240" s="3457"/>
      <c r="S240" s="3457"/>
    </row>
    <row r="241" spans="1:23" hidden="1">
      <c r="F241" s="3457" t="s">
        <v>169</v>
      </c>
      <c r="G241" s="3457"/>
      <c r="H241" s="3457"/>
      <c r="I241" s="3457"/>
      <c r="J241" s="3457"/>
      <c r="K241" s="3457"/>
      <c r="L241" s="3457"/>
      <c r="M241" s="3457"/>
      <c r="N241" s="3457"/>
      <c r="O241" s="3457"/>
      <c r="P241" s="3457"/>
      <c r="Q241" s="3457"/>
      <c r="R241" s="3457"/>
      <c r="S241" s="3457"/>
    </row>
    <row r="242" spans="1:23" hidden="1">
      <c r="F242" s="58" t="s">
        <v>294</v>
      </c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</row>
    <row r="243" spans="1:23" hidden="1">
      <c r="F243" s="3457" t="s">
        <v>170</v>
      </c>
      <c r="G243" s="3457"/>
      <c r="H243" s="3457"/>
      <c r="I243" s="3457"/>
      <c r="J243" s="3457"/>
      <c r="K243" s="3457"/>
      <c r="L243" s="3457"/>
      <c r="M243" s="3457"/>
      <c r="N243" s="3457"/>
      <c r="O243" s="3457"/>
      <c r="P243" s="3457"/>
      <c r="Q243" s="3457"/>
      <c r="R243" s="3457"/>
      <c r="S243" s="3457"/>
    </row>
    <row r="244" spans="1:23" hidden="1"/>
    <row r="245" spans="1:23" ht="15.75" hidden="1" thickBot="1">
      <c r="A245" s="59" t="s">
        <v>527</v>
      </c>
    </row>
    <row r="246" spans="1:23" ht="15.75" hidden="1" thickBot="1">
      <c r="A246" s="3389" t="s">
        <v>0</v>
      </c>
      <c r="B246" s="3389" t="s">
        <v>1</v>
      </c>
      <c r="C246" s="3389" t="s">
        <v>2</v>
      </c>
      <c r="D246" s="3432" t="s">
        <v>165</v>
      </c>
      <c r="E246" s="3433"/>
      <c r="F246" s="3433"/>
      <c r="G246" s="3433"/>
      <c r="H246" s="3433"/>
      <c r="I246" s="3433"/>
      <c r="J246" s="3433"/>
      <c r="K246" s="3433"/>
      <c r="L246" s="3433"/>
      <c r="M246" s="3433"/>
      <c r="N246" s="3433"/>
      <c r="O246" s="3433"/>
      <c r="P246" s="3433"/>
      <c r="Q246" s="3433"/>
      <c r="R246" s="3434"/>
      <c r="S246" s="3432" t="s">
        <v>166</v>
      </c>
      <c r="T246" s="3433"/>
      <c r="U246" s="3434"/>
      <c r="V246" s="3432" t="s">
        <v>1059</v>
      </c>
      <c r="W246" s="3434"/>
    </row>
    <row r="247" spans="1:23" ht="15.75" hidden="1" customHeight="1" thickBot="1">
      <c r="A247" s="3401"/>
      <c r="B247" s="3401"/>
      <c r="C247" s="3401"/>
      <c r="D247" s="3418" t="s">
        <v>1196</v>
      </c>
      <c r="E247" s="3419"/>
      <c r="F247" s="3418">
        <v>2015</v>
      </c>
      <c r="G247" s="3419"/>
      <c r="H247" s="3389" t="s">
        <v>1375</v>
      </c>
      <c r="I247" s="3389" t="s">
        <v>1376</v>
      </c>
      <c r="J247" s="3389" t="s">
        <v>394</v>
      </c>
      <c r="K247" s="3389" t="s">
        <v>395</v>
      </c>
      <c r="L247" s="3389" t="s">
        <v>1155</v>
      </c>
      <c r="M247" s="3077"/>
      <c r="N247" s="3077"/>
      <c r="O247" s="3077"/>
      <c r="P247" s="3077"/>
      <c r="Q247" s="3389" t="s">
        <v>394</v>
      </c>
      <c r="R247" s="3389" t="s">
        <v>395</v>
      </c>
      <c r="S247" s="3389" t="s">
        <v>167</v>
      </c>
      <c r="T247" s="3389" t="s">
        <v>394</v>
      </c>
      <c r="U247" s="3389" t="s">
        <v>395</v>
      </c>
      <c r="V247" s="3642" t="s">
        <v>1060</v>
      </c>
      <c r="W247" s="3389" t="s">
        <v>1061</v>
      </c>
    </row>
    <row r="248" spans="1:23" ht="15.75" hidden="1" thickBot="1">
      <c r="A248" s="3390"/>
      <c r="B248" s="3390"/>
      <c r="C248" s="3390"/>
      <c r="D248" s="1535" t="s">
        <v>5</v>
      </c>
      <c r="E248" s="4" t="s">
        <v>6</v>
      </c>
      <c r="F248" s="4" t="s">
        <v>7</v>
      </c>
      <c r="G248" s="4" t="s">
        <v>8</v>
      </c>
      <c r="H248" s="3390"/>
      <c r="I248" s="3390"/>
      <c r="J248" s="3390"/>
      <c r="K248" s="3390"/>
      <c r="L248" s="3390"/>
      <c r="M248" s="3078"/>
      <c r="N248" s="3078"/>
      <c r="O248" s="3078"/>
      <c r="P248" s="3078"/>
      <c r="Q248" s="3390"/>
      <c r="R248" s="3390"/>
      <c r="S248" s="3390"/>
      <c r="T248" s="3390"/>
      <c r="U248" s="3390"/>
      <c r="V248" s="3643"/>
      <c r="W248" s="3401"/>
    </row>
    <row r="249" spans="1:23" hidden="1">
      <c r="A249" s="3">
        <v>1</v>
      </c>
      <c r="B249" s="3">
        <v>2</v>
      </c>
      <c r="C249" s="3">
        <v>3</v>
      </c>
      <c r="D249" s="3">
        <v>4</v>
      </c>
      <c r="E249" s="3">
        <v>5</v>
      </c>
      <c r="F249" s="3">
        <v>6</v>
      </c>
      <c r="G249" s="3">
        <v>7</v>
      </c>
      <c r="H249" s="49"/>
      <c r="I249" s="49"/>
      <c r="J249" s="49"/>
      <c r="K249" s="49"/>
      <c r="L249" s="51">
        <v>8</v>
      </c>
      <c r="M249" s="49"/>
      <c r="N249" s="49"/>
      <c r="O249" s="49"/>
      <c r="P249" s="49"/>
      <c r="Q249" s="49">
        <v>9</v>
      </c>
      <c r="R249" s="49">
        <v>10</v>
      </c>
      <c r="S249" s="25">
        <v>11</v>
      </c>
      <c r="T249" s="25">
        <v>12</v>
      </c>
      <c r="U249" s="25">
        <v>13</v>
      </c>
      <c r="V249" s="1298"/>
      <c r="W249" s="1"/>
    </row>
    <row r="250" spans="1:23" hidden="1">
      <c r="A250" s="1" t="s">
        <v>172</v>
      </c>
      <c r="B250" s="1" t="s">
        <v>173</v>
      </c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298"/>
      <c r="W250" s="1"/>
    </row>
    <row r="251" spans="1:23" hidden="1">
      <c r="A251" s="75">
        <v>1</v>
      </c>
      <c r="B251" s="1" t="s">
        <v>249</v>
      </c>
      <c r="C251" s="92" t="s">
        <v>146</v>
      </c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298"/>
      <c r="W251" s="1"/>
    </row>
    <row r="252" spans="1:23" hidden="1">
      <c r="A252" s="75">
        <v>2</v>
      </c>
      <c r="B252" s="1" t="s">
        <v>250</v>
      </c>
      <c r="C252" s="92" t="s">
        <v>143</v>
      </c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298"/>
      <c r="W252" s="1"/>
    </row>
    <row r="253" spans="1:23" hidden="1">
      <c r="A253" s="75">
        <v>3</v>
      </c>
      <c r="B253" s="1" t="s">
        <v>251</v>
      </c>
      <c r="C253" s="92" t="s">
        <v>11</v>
      </c>
      <c r="D253" s="1">
        <f t="shared" ref="D253:U253" si="65">D251*D252</f>
        <v>0</v>
      </c>
      <c r="E253" s="1">
        <f t="shared" si="65"/>
        <v>0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>
        <f t="shared" si="65"/>
        <v>0</v>
      </c>
      <c r="T253" s="1">
        <f t="shared" si="65"/>
        <v>0</v>
      </c>
      <c r="U253" s="1">
        <f t="shared" si="65"/>
        <v>0</v>
      </c>
      <c r="V253" s="1298"/>
      <c r="W253" s="1"/>
    </row>
    <row r="254" spans="1:23" hidden="1">
      <c r="A254" s="75" t="s">
        <v>252</v>
      </c>
      <c r="B254" s="1" t="s">
        <v>173</v>
      </c>
      <c r="C254" s="9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298"/>
      <c r="W254" s="1"/>
    </row>
    <row r="255" spans="1:23" ht="15.75" hidden="1" thickBot="1">
      <c r="A255" s="27" t="s">
        <v>226</v>
      </c>
      <c r="B255" s="1" t="s">
        <v>173</v>
      </c>
      <c r="C255" s="93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1299"/>
      <c r="W255" s="27"/>
    </row>
    <row r="256" spans="1:23" ht="15.75" hidden="1" thickBot="1">
      <c r="A256" s="78"/>
      <c r="B256" s="77" t="s">
        <v>157</v>
      </c>
      <c r="C256" s="95" t="s">
        <v>11</v>
      </c>
      <c r="D256" s="77">
        <f t="shared" ref="D256:U256" si="66">D253+D254+D255</f>
        <v>0</v>
      </c>
      <c r="E256" s="77">
        <f t="shared" si="66"/>
        <v>0</v>
      </c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>
        <f t="shared" si="66"/>
        <v>0</v>
      </c>
      <c r="T256" s="77">
        <f t="shared" si="66"/>
        <v>0</v>
      </c>
      <c r="U256" s="77">
        <f t="shared" si="66"/>
        <v>0</v>
      </c>
      <c r="V256" s="1300"/>
      <c r="W256" s="1296"/>
    </row>
    <row r="259" spans="1:23" ht="39.75" customHeight="1" thickBot="1">
      <c r="A259" s="3644" t="s">
        <v>1786</v>
      </c>
      <c r="B259" s="3645"/>
      <c r="C259" s="3645"/>
      <c r="D259" s="3645"/>
      <c r="E259" s="3645"/>
      <c r="F259" s="3645"/>
      <c r="G259" s="3645"/>
      <c r="H259" s="3645"/>
      <c r="I259" s="3645"/>
      <c r="J259" s="3645"/>
      <c r="K259" s="3645"/>
      <c r="L259" s="3645"/>
      <c r="M259" s="3645"/>
      <c r="N259" s="3645"/>
      <c r="O259" s="3645"/>
      <c r="P259" s="3645"/>
      <c r="Q259" s="3645"/>
      <c r="R259" s="3645"/>
      <c r="S259" s="3645"/>
    </row>
    <row r="260" spans="1:23" ht="18" customHeight="1" thickBot="1">
      <c r="A260" s="3389" t="s">
        <v>0</v>
      </c>
      <c r="B260" s="3389" t="s">
        <v>1</v>
      </c>
      <c r="C260" s="3389" t="s">
        <v>2</v>
      </c>
      <c r="D260" s="3391" t="s">
        <v>165</v>
      </c>
      <c r="E260" s="3393"/>
      <c r="F260" s="3393"/>
      <c r="G260" s="3393"/>
      <c r="H260" s="3393"/>
      <c r="I260" s="3393"/>
      <c r="J260" s="3393"/>
      <c r="K260" s="3393"/>
      <c r="L260" s="3393"/>
      <c r="M260" s="3079"/>
      <c r="N260" s="3079"/>
      <c r="O260" s="3079"/>
      <c r="P260" s="3079"/>
      <c r="Q260" s="3391" t="s">
        <v>1748</v>
      </c>
      <c r="R260" s="3393"/>
      <c r="S260" s="3393"/>
      <c r="T260" s="3392"/>
      <c r="U260" s="2683"/>
      <c r="V260" s="3449"/>
      <c r="W260" s="3449"/>
    </row>
    <row r="261" spans="1:23" ht="15.75" customHeight="1" thickBot="1">
      <c r="A261" s="3401"/>
      <c r="B261" s="3401"/>
      <c r="C261" s="3401"/>
      <c r="D261" s="3418" t="s">
        <v>1196</v>
      </c>
      <c r="E261" s="3419"/>
      <c r="F261" s="3418">
        <v>2015</v>
      </c>
      <c r="G261" s="3419"/>
      <c r="H261" s="3389" t="s">
        <v>1375</v>
      </c>
      <c r="I261" s="3389" t="s">
        <v>1376</v>
      </c>
      <c r="J261" s="3389" t="s">
        <v>394</v>
      </c>
      <c r="K261" s="3389" t="s">
        <v>395</v>
      </c>
      <c r="L261" s="3387" t="s">
        <v>1155</v>
      </c>
      <c r="M261" s="3075"/>
      <c r="N261" s="3075"/>
      <c r="O261" s="3075"/>
      <c r="P261" s="3075"/>
      <c r="Q261" s="3389" t="s">
        <v>394</v>
      </c>
      <c r="R261" s="3389" t="s">
        <v>395</v>
      </c>
      <c r="S261" s="3495" t="s">
        <v>1155</v>
      </c>
      <c r="T261" s="3389" t="s">
        <v>1061</v>
      </c>
      <c r="U261" s="3631"/>
      <c r="V261" s="3631"/>
      <c r="W261" s="3631"/>
    </row>
    <row r="262" spans="1:23" ht="39.75" customHeight="1" thickBot="1">
      <c r="A262" s="3390"/>
      <c r="B262" s="3390"/>
      <c r="C262" s="3390"/>
      <c r="D262" s="1772" t="s">
        <v>5</v>
      </c>
      <c r="E262" s="4" t="s">
        <v>6</v>
      </c>
      <c r="F262" s="4" t="s">
        <v>7</v>
      </c>
      <c r="G262" s="4" t="s">
        <v>8</v>
      </c>
      <c r="H262" s="3390"/>
      <c r="I262" s="3390"/>
      <c r="J262" s="3390"/>
      <c r="K262" s="3390"/>
      <c r="L262" s="3388"/>
      <c r="M262" s="3076"/>
      <c r="N262" s="3076"/>
      <c r="O262" s="3076"/>
      <c r="P262" s="3076"/>
      <c r="Q262" s="3390"/>
      <c r="R262" s="3390"/>
      <c r="S262" s="3496"/>
      <c r="T262" s="3390"/>
      <c r="U262" s="3631"/>
      <c r="V262" s="3631"/>
      <c r="W262" s="3631"/>
    </row>
    <row r="263" spans="1:23">
      <c r="A263" s="534">
        <v>1</v>
      </c>
      <c r="B263" s="3">
        <v>2</v>
      </c>
      <c r="C263" s="3">
        <v>3</v>
      </c>
      <c r="D263" s="3">
        <v>4</v>
      </c>
      <c r="E263" s="3">
        <v>5</v>
      </c>
      <c r="F263" s="3">
        <v>6</v>
      </c>
      <c r="G263" s="3">
        <v>7</v>
      </c>
      <c r="H263" s="3">
        <v>8</v>
      </c>
      <c r="I263" s="3">
        <v>9</v>
      </c>
      <c r="J263" s="3">
        <v>10</v>
      </c>
      <c r="K263" s="3">
        <v>11</v>
      </c>
      <c r="L263" s="2934">
        <v>12</v>
      </c>
      <c r="M263" s="3172"/>
      <c r="N263" s="3172"/>
      <c r="O263" s="3172"/>
      <c r="P263" s="3172"/>
      <c r="Q263" s="534">
        <v>13</v>
      </c>
      <c r="R263" s="1052">
        <v>14</v>
      </c>
      <c r="S263" s="1763">
        <v>15</v>
      </c>
      <c r="T263" s="1736">
        <v>16</v>
      </c>
      <c r="U263" s="116"/>
      <c r="V263" s="2684"/>
      <c r="W263" s="116"/>
    </row>
    <row r="264" spans="1:23">
      <c r="A264" s="1053" t="s">
        <v>172</v>
      </c>
      <c r="B264" s="107" t="s">
        <v>602</v>
      </c>
      <c r="C264" s="3"/>
      <c r="D264" s="3"/>
      <c r="E264" s="3"/>
      <c r="F264" s="3"/>
      <c r="G264" s="3"/>
      <c r="H264" s="3"/>
      <c r="I264" s="3"/>
      <c r="J264" s="3"/>
      <c r="K264" s="3"/>
      <c r="L264" s="2935"/>
      <c r="M264" s="3173"/>
      <c r="N264" s="3173"/>
      <c r="O264" s="3173"/>
      <c r="P264" s="3173"/>
      <c r="Q264" s="2936"/>
      <c r="R264" s="1054"/>
      <c r="S264" s="993"/>
      <c r="T264" s="2632"/>
      <c r="U264" s="116"/>
      <c r="V264" s="2684"/>
      <c r="W264" s="116"/>
    </row>
    <row r="265" spans="1:23">
      <c r="A265" s="1037">
        <v>1</v>
      </c>
      <c r="B265" s="60" t="s">
        <v>600</v>
      </c>
      <c r="C265" s="92" t="s">
        <v>146</v>
      </c>
      <c r="D265" s="1">
        <f>125.07*0.9</f>
        <v>112.563</v>
      </c>
      <c r="E265" s="1">
        <v>112.131</v>
      </c>
      <c r="F265" s="1">
        <v>118.98</v>
      </c>
      <c r="G265" s="1">
        <v>110.887</v>
      </c>
      <c r="H265" s="1">
        <f>23.246*2</f>
        <v>46.491999999999997</v>
      </c>
      <c r="I265" s="1">
        <f>G265</f>
        <v>110.887</v>
      </c>
      <c r="J265" s="1">
        <v>111.191</v>
      </c>
      <c r="K265" s="1">
        <v>110.499</v>
      </c>
      <c r="L265" s="50">
        <v>110.887</v>
      </c>
      <c r="M265" s="1481"/>
      <c r="N265" s="1481"/>
      <c r="O265" s="1481"/>
      <c r="P265" s="1481"/>
      <c r="Q265" s="1036">
        <f>J265</f>
        <v>111.191</v>
      </c>
      <c r="R265" s="1036">
        <f>K265</f>
        <v>110.499</v>
      </c>
      <c r="S265" s="1036">
        <f>L265</f>
        <v>110.887</v>
      </c>
      <c r="T265" s="998"/>
      <c r="U265" s="116"/>
      <c r="V265" s="2684"/>
      <c r="W265" s="116"/>
    </row>
    <row r="266" spans="1:23" ht="30">
      <c r="A266" s="1045"/>
      <c r="B266" s="60" t="s">
        <v>601</v>
      </c>
      <c r="C266" s="92" t="s">
        <v>143</v>
      </c>
      <c r="D266" s="1">
        <v>7.97</v>
      </c>
      <c r="E266" s="1">
        <v>7.97</v>
      </c>
      <c r="F266" s="1">
        <v>7.97</v>
      </c>
      <c r="G266" s="1">
        <v>7.97</v>
      </c>
      <c r="H266" s="1">
        <v>7.97</v>
      </c>
      <c r="I266" s="1">
        <v>7.97</v>
      </c>
      <c r="J266" s="416">
        <f>G266*1.045</f>
        <v>8.3286499999999997</v>
      </c>
      <c r="K266" s="416">
        <f>J266*1.043</f>
        <v>8.6867819499999985</v>
      </c>
      <c r="L266" s="415">
        <f>K266*1.043</f>
        <v>9.0603135738499976</v>
      </c>
      <c r="M266" s="1485"/>
      <c r="N266" s="1485"/>
      <c r="O266" s="1485"/>
      <c r="P266" s="1485"/>
      <c r="Q266" s="1036">
        <v>7.97</v>
      </c>
      <c r="R266" s="998">
        <f>Q266</f>
        <v>7.97</v>
      </c>
      <c r="S266" s="995">
        <f>R266</f>
        <v>7.97</v>
      </c>
      <c r="T266" s="998"/>
      <c r="U266" s="116"/>
      <c r="V266" s="2684"/>
      <c r="W266" s="2931"/>
    </row>
    <row r="267" spans="1:23" ht="30">
      <c r="A267" s="1110" t="s">
        <v>18</v>
      </c>
      <c r="B267" s="435" t="s">
        <v>599</v>
      </c>
      <c r="C267" s="436" t="s">
        <v>11</v>
      </c>
      <c r="D267" s="433">
        <f t="shared" ref="D267:E267" si="67">D265*D266</f>
        <v>897.12711000000002</v>
      </c>
      <c r="E267" s="433">
        <f t="shared" si="67"/>
        <v>893.68407000000002</v>
      </c>
      <c r="F267" s="433">
        <v>948.27060000000006</v>
      </c>
      <c r="G267" s="433">
        <f>G265*G266</f>
        <v>883.76938999999993</v>
      </c>
      <c r="H267" s="433">
        <f t="shared" ref="H267:I267" si="68">H265*H266</f>
        <v>370.54123999999996</v>
      </c>
      <c r="I267" s="433">
        <f t="shared" si="68"/>
        <v>883.76938999999993</v>
      </c>
      <c r="J267" s="433">
        <f>J265*J266</f>
        <v>926.07092215</v>
      </c>
      <c r="K267" s="433">
        <f t="shared" ref="K267:T267" si="69">K265*K266</f>
        <v>959.88071869304974</v>
      </c>
      <c r="L267" s="2623">
        <f t="shared" si="69"/>
        <v>1004.6709912635047</v>
      </c>
      <c r="M267" s="3161"/>
      <c r="N267" s="3161"/>
      <c r="O267" s="3161"/>
      <c r="P267" s="3161"/>
      <c r="Q267" s="2626">
        <f t="shared" si="69"/>
        <v>886.19227000000001</v>
      </c>
      <c r="R267" s="433">
        <f t="shared" si="69"/>
        <v>880.67702999999995</v>
      </c>
      <c r="S267" s="433">
        <f t="shared" si="69"/>
        <v>883.76938999999993</v>
      </c>
      <c r="T267" s="1047">
        <f t="shared" si="69"/>
        <v>0</v>
      </c>
      <c r="U267" s="1290"/>
      <c r="V267" s="1290"/>
      <c r="W267" s="116"/>
    </row>
    <row r="268" spans="1:23">
      <c r="A268" s="1058" t="s">
        <v>225</v>
      </c>
      <c r="B268" s="74" t="s">
        <v>604</v>
      </c>
      <c r="C268" s="115"/>
      <c r="D268" s="108"/>
      <c r="E268" s="108"/>
      <c r="F268" s="108"/>
      <c r="G268" s="108"/>
      <c r="H268" s="108"/>
      <c r="I268" s="108"/>
      <c r="J268" s="108"/>
      <c r="K268" s="108"/>
      <c r="L268" s="2927"/>
      <c r="M268" s="3174"/>
      <c r="N268" s="3174"/>
      <c r="O268" s="3174"/>
      <c r="P268" s="3174"/>
      <c r="Q268" s="2937"/>
      <c r="R268" s="1059"/>
      <c r="S268" s="1051"/>
      <c r="T268" s="1059"/>
      <c r="U268" s="117"/>
      <c r="V268" s="2684"/>
      <c r="W268" s="116"/>
    </row>
    <row r="269" spans="1:23">
      <c r="A269" s="1037">
        <v>2</v>
      </c>
      <c r="B269" s="60" t="s">
        <v>600</v>
      </c>
      <c r="C269" s="92" t="s">
        <v>146</v>
      </c>
      <c r="D269" s="1">
        <v>9.2799999999999994</v>
      </c>
      <c r="E269" s="1"/>
      <c r="F269" s="1">
        <v>0</v>
      </c>
      <c r="G269" s="1"/>
      <c r="H269" s="1"/>
      <c r="I269" s="1"/>
      <c r="J269" s="1"/>
      <c r="K269" s="1"/>
      <c r="L269" s="50"/>
      <c r="M269" s="1481"/>
      <c r="N269" s="1481"/>
      <c r="O269" s="1481"/>
      <c r="P269" s="1481"/>
      <c r="Q269" s="1036">
        <v>14.77</v>
      </c>
      <c r="R269" s="998">
        <v>14.77</v>
      </c>
      <c r="S269" s="995">
        <v>14.77</v>
      </c>
      <c r="T269" s="998"/>
      <c r="U269" s="116"/>
      <c r="V269" s="2684"/>
      <c r="W269" s="116"/>
    </row>
    <row r="270" spans="1:23" ht="30">
      <c r="A270" s="1045" t="s">
        <v>52</v>
      </c>
      <c r="B270" s="60" t="s">
        <v>601</v>
      </c>
      <c r="C270" s="92" t="s">
        <v>143</v>
      </c>
      <c r="D270" s="1">
        <v>29.23</v>
      </c>
      <c r="E270" s="1"/>
      <c r="F270" s="1">
        <v>0</v>
      </c>
      <c r="G270" s="1"/>
      <c r="H270" s="1"/>
      <c r="I270" s="1"/>
      <c r="J270" s="1"/>
      <c r="K270" s="1"/>
      <c r="L270" s="50"/>
      <c r="M270" s="1481"/>
      <c r="N270" s="1481"/>
      <c r="O270" s="1481"/>
      <c r="P270" s="1481"/>
      <c r="Q270" s="1036">
        <v>29.57</v>
      </c>
      <c r="R270" s="2613">
        <f>Q270*1.025</f>
        <v>30.309249999999999</v>
      </c>
      <c r="S270" s="2939">
        <f>R270*1.022</f>
        <v>30.976053499999999</v>
      </c>
      <c r="T270" s="998"/>
      <c r="U270" s="116"/>
      <c r="V270" s="2684"/>
      <c r="W270" s="116"/>
    </row>
    <row r="271" spans="1:23" ht="30">
      <c r="A271" s="1111" t="s">
        <v>54</v>
      </c>
      <c r="B271" s="435" t="s">
        <v>607</v>
      </c>
      <c r="C271" s="436" t="s">
        <v>11</v>
      </c>
      <c r="D271" s="433">
        <f t="shared" ref="D271" si="70">D269*D270</f>
        <v>271.25439999999998</v>
      </c>
      <c r="E271" s="433"/>
      <c r="F271" s="433">
        <v>0</v>
      </c>
      <c r="G271" s="433"/>
      <c r="H271" s="433"/>
      <c r="I271" s="433"/>
      <c r="J271" s="433"/>
      <c r="K271" s="433"/>
      <c r="L271" s="2623"/>
      <c r="M271" s="3161"/>
      <c r="N271" s="3161"/>
      <c r="O271" s="3161"/>
      <c r="P271" s="3161"/>
      <c r="Q271" s="2626">
        <f>Q269*Q270</f>
        <v>436.74889999999999</v>
      </c>
      <c r="R271" s="2626">
        <f t="shared" ref="R271:S271" si="71">R269*R270</f>
        <v>447.66762249999999</v>
      </c>
      <c r="S271" s="2626">
        <f t="shared" si="71"/>
        <v>457.51631019499996</v>
      </c>
      <c r="T271" s="1047"/>
      <c r="U271" s="1290"/>
      <c r="V271" s="1290"/>
      <c r="W271" s="116"/>
    </row>
    <row r="272" spans="1:23" hidden="1">
      <c r="A272" s="1058" t="s">
        <v>603</v>
      </c>
      <c r="B272" s="74" t="s">
        <v>605</v>
      </c>
      <c r="C272" s="115"/>
      <c r="D272" s="108"/>
      <c r="E272" s="108"/>
      <c r="F272" s="108"/>
      <c r="G272" s="108"/>
      <c r="H272" s="108"/>
      <c r="I272" s="108"/>
      <c r="J272" s="108"/>
      <c r="K272" s="108"/>
      <c r="L272" s="2927"/>
      <c r="M272" s="3174"/>
      <c r="N272" s="3174"/>
      <c r="O272" s="3174"/>
      <c r="P272" s="3174"/>
      <c r="Q272" s="2937"/>
      <c r="R272" s="1059"/>
      <c r="S272" s="1051"/>
      <c r="T272" s="1059"/>
      <c r="U272" s="117"/>
      <c r="V272" s="2684"/>
      <c r="W272" s="116"/>
    </row>
    <row r="273" spans="1:23" hidden="1">
      <c r="A273" s="1037">
        <v>3</v>
      </c>
      <c r="B273" s="60" t="s">
        <v>600</v>
      </c>
      <c r="C273" s="92" t="s">
        <v>146</v>
      </c>
      <c r="D273" s="1"/>
      <c r="E273" s="1"/>
      <c r="F273" s="1"/>
      <c r="G273" s="1"/>
      <c r="H273" s="1"/>
      <c r="I273" s="1"/>
      <c r="J273" s="1"/>
      <c r="K273" s="1"/>
      <c r="L273" s="50"/>
      <c r="M273" s="1481"/>
      <c r="N273" s="1481"/>
      <c r="O273" s="1481"/>
      <c r="P273" s="1481"/>
      <c r="Q273" s="1036"/>
      <c r="R273" s="998"/>
      <c r="S273" s="995"/>
      <c r="T273" s="998"/>
      <c r="U273" s="116"/>
      <c r="V273" s="2684"/>
      <c r="W273" s="116"/>
    </row>
    <row r="274" spans="1:23" ht="30" hidden="1">
      <c r="A274" s="1045" t="s">
        <v>64</v>
      </c>
      <c r="B274" s="60" t="s">
        <v>601</v>
      </c>
      <c r="C274" s="92" t="s">
        <v>143</v>
      </c>
      <c r="D274" s="1"/>
      <c r="E274" s="1"/>
      <c r="F274" s="1"/>
      <c r="G274" s="1"/>
      <c r="H274" s="1"/>
      <c r="I274" s="1"/>
      <c r="J274" s="1"/>
      <c r="K274" s="1"/>
      <c r="L274" s="50"/>
      <c r="M274" s="1481"/>
      <c r="N274" s="1481"/>
      <c r="O274" s="1481"/>
      <c r="P274" s="1481"/>
      <c r="Q274" s="1036"/>
      <c r="R274" s="998"/>
      <c r="S274" s="995"/>
      <c r="T274" s="998"/>
      <c r="U274" s="116"/>
      <c r="V274" s="2684"/>
      <c r="W274" s="116"/>
    </row>
    <row r="275" spans="1:23" ht="30" hidden="1">
      <c r="A275" s="1045" t="s">
        <v>80</v>
      </c>
      <c r="B275" s="435" t="s">
        <v>599</v>
      </c>
      <c r="C275" s="436" t="s">
        <v>11</v>
      </c>
      <c r="D275" s="433"/>
      <c r="E275" s="433"/>
      <c r="F275" s="433"/>
      <c r="G275" s="433"/>
      <c r="H275" s="433"/>
      <c r="I275" s="433"/>
      <c r="J275" s="433"/>
      <c r="K275" s="433"/>
      <c r="L275" s="2623"/>
      <c r="M275" s="3161"/>
      <c r="N275" s="3161"/>
      <c r="O275" s="3161"/>
      <c r="P275" s="3161"/>
      <c r="Q275" s="2626"/>
      <c r="R275" s="433"/>
      <c r="S275" s="433"/>
      <c r="T275" s="1047"/>
      <c r="U275" s="1290"/>
      <c r="V275" s="1290"/>
      <c r="W275" s="116"/>
    </row>
    <row r="276" spans="1:23" ht="30">
      <c r="A276" s="1058" t="s">
        <v>1068</v>
      </c>
      <c r="B276" s="327" t="s">
        <v>1750</v>
      </c>
      <c r="C276" s="92"/>
      <c r="D276" s="1"/>
      <c r="E276" s="1"/>
      <c r="F276" s="1"/>
      <c r="G276" s="1"/>
      <c r="H276" s="1"/>
      <c r="I276" s="1"/>
      <c r="J276" s="1"/>
      <c r="K276" s="1"/>
      <c r="L276" s="50"/>
      <c r="M276" s="1481"/>
      <c r="N276" s="1481"/>
      <c r="O276" s="1481"/>
      <c r="P276" s="1481"/>
      <c r="Q276" s="1036"/>
      <c r="R276" s="998"/>
      <c r="S276" s="995"/>
      <c r="T276" s="998"/>
      <c r="U276" s="116"/>
      <c r="V276" s="2684"/>
      <c r="W276" s="116"/>
    </row>
    <row r="277" spans="1:23">
      <c r="A277" s="1045" t="s">
        <v>99</v>
      </c>
      <c r="B277" s="60" t="s">
        <v>600</v>
      </c>
      <c r="C277" s="92" t="s">
        <v>146</v>
      </c>
      <c r="D277" s="1"/>
      <c r="E277" s="1"/>
      <c r="F277" s="1">
        <v>2023.78</v>
      </c>
      <c r="G277" s="1"/>
      <c r="H277" s="1">
        <v>0</v>
      </c>
      <c r="I277" s="1"/>
      <c r="J277" s="1"/>
      <c r="K277" s="1"/>
      <c r="L277" s="50"/>
      <c r="M277" s="1481"/>
      <c r="N277" s="1481"/>
      <c r="O277" s="1481"/>
      <c r="P277" s="1481"/>
      <c r="Q277" s="1036">
        <v>1925.2059999999999</v>
      </c>
      <c r="R277" s="998">
        <f>Q277</f>
        <v>1925.2059999999999</v>
      </c>
      <c r="S277" s="995">
        <f>R277</f>
        <v>1925.2059999999999</v>
      </c>
      <c r="T277" s="998"/>
      <c r="U277" s="116"/>
      <c r="V277" s="2684"/>
      <c r="W277" s="116"/>
    </row>
    <row r="278" spans="1:23" ht="30">
      <c r="A278" s="1045" t="s">
        <v>101</v>
      </c>
      <c r="B278" s="60" t="s">
        <v>601</v>
      </c>
      <c r="C278" s="92" t="s">
        <v>143</v>
      </c>
      <c r="D278" s="1"/>
      <c r="E278" s="1"/>
      <c r="F278" s="1">
        <v>3.39</v>
      </c>
      <c r="G278" s="1"/>
      <c r="H278" s="1">
        <v>0</v>
      </c>
      <c r="I278" s="1"/>
      <c r="J278" s="1"/>
      <c r="K278" s="1"/>
      <c r="L278" s="50"/>
      <c r="M278" s="1481"/>
      <c r="N278" s="1481"/>
      <c r="O278" s="1481"/>
      <c r="P278" s="1481"/>
      <c r="Q278" s="1036">
        <v>3.65</v>
      </c>
      <c r="R278" s="998">
        <v>3.77</v>
      </c>
      <c r="S278" s="2940">
        <v>3.9</v>
      </c>
      <c r="T278" s="998"/>
      <c r="U278" s="116"/>
      <c r="V278" s="2684"/>
      <c r="W278" s="116"/>
    </row>
    <row r="279" spans="1:23" ht="30">
      <c r="A279" s="1045" t="s">
        <v>265</v>
      </c>
      <c r="B279" s="435" t="s">
        <v>599</v>
      </c>
      <c r="C279" s="436" t="s">
        <v>11</v>
      </c>
      <c r="D279" s="433"/>
      <c r="E279" s="433"/>
      <c r="F279" s="433">
        <v>6860.6142</v>
      </c>
      <c r="G279" s="433"/>
      <c r="H279" s="433">
        <v>0</v>
      </c>
      <c r="I279" s="433"/>
      <c r="J279" s="433">
        <f>-F279</f>
        <v>-6860.6142</v>
      </c>
      <c r="K279" s="433"/>
      <c r="L279" s="2623"/>
      <c r="M279" s="3161"/>
      <c r="N279" s="3161"/>
      <c r="O279" s="3161"/>
      <c r="P279" s="3161"/>
      <c r="Q279" s="2626">
        <f>Q277*Q278</f>
        <v>7027.0018999999993</v>
      </c>
      <c r="R279" s="2626">
        <f t="shared" ref="R279:S279" si="72">R277*R278</f>
        <v>7258.0266199999996</v>
      </c>
      <c r="S279" s="2626">
        <f t="shared" si="72"/>
        <v>7508.3033999999998</v>
      </c>
      <c r="T279" s="1047"/>
      <c r="U279" s="1290"/>
      <c r="V279" s="2422"/>
      <c r="W279" s="116"/>
    </row>
    <row r="280" spans="1:23">
      <c r="A280" s="1057"/>
      <c r="B280" s="110" t="s">
        <v>1356</v>
      </c>
      <c r="C280" s="114" t="s">
        <v>11</v>
      </c>
      <c r="D280" s="437">
        <f t="shared" ref="D280:L280" si="73">D267+D271+D275</f>
        <v>1168.3815099999999</v>
      </c>
      <c r="E280" s="437">
        <f t="shared" si="73"/>
        <v>893.68407000000002</v>
      </c>
      <c r="F280" s="437">
        <f t="shared" si="73"/>
        <v>948.27060000000006</v>
      </c>
      <c r="G280" s="437">
        <f t="shared" si="73"/>
        <v>883.76938999999993</v>
      </c>
      <c r="H280" s="437">
        <f t="shared" si="73"/>
        <v>370.54123999999996</v>
      </c>
      <c r="I280" s="437">
        <f t="shared" si="73"/>
        <v>883.76938999999993</v>
      </c>
      <c r="J280" s="437">
        <f t="shared" si="73"/>
        <v>926.07092215</v>
      </c>
      <c r="K280" s="437">
        <f t="shared" si="73"/>
        <v>959.88071869304974</v>
      </c>
      <c r="L280" s="2928">
        <f t="shared" si="73"/>
        <v>1004.6709912635047</v>
      </c>
      <c r="M280" s="3175"/>
      <c r="N280" s="3175"/>
      <c r="O280" s="3175"/>
      <c r="P280" s="3175"/>
      <c r="Q280" s="2656">
        <f>Q267+Q271+Q275+Q279</f>
        <v>8349.9430699999994</v>
      </c>
      <c r="R280" s="2656">
        <f t="shared" ref="R280:S280" si="74">R267+R271+R275+R279</f>
        <v>8586.3712725000005</v>
      </c>
      <c r="S280" s="2656">
        <f t="shared" si="74"/>
        <v>8849.5891001950004</v>
      </c>
      <c r="T280" s="2938"/>
      <c r="U280" s="2422"/>
      <c r="V280" s="2422"/>
      <c r="W280" s="116"/>
    </row>
    <row r="281" spans="1:23">
      <c r="A281" s="1058" t="s">
        <v>287</v>
      </c>
      <c r="B281" s="74" t="s">
        <v>610</v>
      </c>
      <c r="C281" s="115"/>
      <c r="D281" s="108"/>
      <c r="E281" s="108"/>
      <c r="F281" s="108"/>
      <c r="G281" s="108"/>
      <c r="H281" s="108"/>
      <c r="I281" s="108"/>
      <c r="J281" s="108"/>
      <c r="K281" s="108"/>
      <c r="L281" s="2927"/>
      <c r="M281" s="3174"/>
      <c r="N281" s="3174"/>
      <c r="O281" s="3174"/>
      <c r="P281" s="3174"/>
      <c r="Q281" s="2937"/>
      <c r="R281" s="1059"/>
      <c r="S281" s="1051"/>
      <c r="T281" s="1059"/>
      <c r="U281" s="117"/>
      <c r="V281" s="2684"/>
      <c r="W281" s="116"/>
    </row>
    <row r="282" spans="1:23">
      <c r="A282" s="1037">
        <v>4</v>
      </c>
      <c r="B282" s="60" t="s">
        <v>609</v>
      </c>
      <c r="C282" s="92" t="s">
        <v>146</v>
      </c>
      <c r="D282" s="1">
        <v>13.63</v>
      </c>
      <c r="E282" s="1">
        <v>7.9039999999999999</v>
      </c>
      <c r="F282" s="1">
        <v>0</v>
      </c>
      <c r="G282" s="1">
        <v>7.9039999999999999</v>
      </c>
      <c r="H282" s="1">
        <v>2.5369999999999999</v>
      </c>
      <c r="I282" s="1">
        <f>G282</f>
        <v>7.9039999999999999</v>
      </c>
      <c r="J282" s="1">
        <v>7.9039999999999999</v>
      </c>
      <c r="K282" s="1">
        <v>7.9039999999999999</v>
      </c>
      <c r="L282" s="50">
        <v>7.9039999999999999</v>
      </c>
      <c r="M282" s="1481"/>
      <c r="N282" s="1481"/>
      <c r="O282" s="1481"/>
      <c r="P282" s="1481"/>
      <c r="Q282" s="1036">
        <v>0</v>
      </c>
      <c r="R282" s="1036">
        <v>0</v>
      </c>
      <c r="S282" s="1036">
        <v>0</v>
      </c>
      <c r="T282" s="998"/>
      <c r="U282" s="116"/>
      <c r="V282" s="2932"/>
      <c r="W282" s="116"/>
    </row>
    <row r="283" spans="1:23">
      <c r="A283" s="1111" t="s">
        <v>101</v>
      </c>
      <c r="B283" s="438" t="s">
        <v>606</v>
      </c>
      <c r="C283" s="439" t="s">
        <v>143</v>
      </c>
      <c r="D283" s="416">
        <v>20.07</v>
      </c>
      <c r="E283" s="416">
        <v>20.07</v>
      </c>
      <c r="F283" s="416">
        <v>0</v>
      </c>
      <c r="G283" s="416">
        <v>20.07</v>
      </c>
      <c r="H283" s="416">
        <v>20.07</v>
      </c>
      <c r="I283" s="416">
        <v>20.07</v>
      </c>
      <c r="J283" s="416">
        <f>H283*1.045</f>
        <v>20.97315</v>
      </c>
      <c r="K283" s="416">
        <f>I283*1.043</f>
        <v>20.933009999999999</v>
      </c>
      <c r="L283" s="415">
        <f>I283*1.043</f>
        <v>20.933009999999999</v>
      </c>
      <c r="M283" s="1485"/>
      <c r="N283" s="1485"/>
      <c r="O283" s="1485"/>
      <c r="P283" s="1485"/>
      <c r="Q283" s="1604">
        <v>0</v>
      </c>
      <c r="R283" s="1604">
        <v>0</v>
      </c>
      <c r="S283" s="1604">
        <v>0</v>
      </c>
      <c r="T283" s="1030"/>
      <c r="U283" s="1290"/>
      <c r="V283" s="2932"/>
      <c r="W283" s="116"/>
    </row>
    <row r="284" spans="1:23">
      <c r="A284" s="1110" t="s">
        <v>265</v>
      </c>
      <c r="B284" s="435" t="s">
        <v>608</v>
      </c>
      <c r="C284" s="436" t="s">
        <v>11</v>
      </c>
      <c r="D284" s="433">
        <f t="shared" ref="D284:E284" si="75">D282*D283</f>
        <v>273.55410000000001</v>
      </c>
      <c r="E284" s="433">
        <f t="shared" si="75"/>
        <v>158.63328000000001</v>
      </c>
      <c r="F284" s="433">
        <v>0</v>
      </c>
      <c r="G284" s="433">
        <f>G282*G283</f>
        <v>158.63328000000001</v>
      </c>
      <c r="H284" s="433">
        <f t="shared" ref="H284:I284" si="76">H282*H283</f>
        <v>50.917589999999997</v>
      </c>
      <c r="I284" s="433">
        <f t="shared" si="76"/>
        <v>158.63328000000001</v>
      </c>
      <c r="J284" s="433">
        <f t="shared" ref="J284:L284" si="77">J282*J283</f>
        <v>165.77177760000001</v>
      </c>
      <c r="K284" s="433">
        <f t="shared" si="77"/>
        <v>165.45451104</v>
      </c>
      <c r="L284" s="2623">
        <f t="shared" si="77"/>
        <v>165.45451104</v>
      </c>
      <c r="M284" s="3161"/>
      <c r="N284" s="3161"/>
      <c r="O284" s="3161"/>
      <c r="P284" s="3161"/>
      <c r="Q284" s="2626">
        <v>0</v>
      </c>
      <c r="R284" s="433">
        <v>0</v>
      </c>
      <c r="S284" s="433">
        <v>0</v>
      </c>
      <c r="T284" s="1047"/>
      <c r="U284" s="1290"/>
      <c r="V284" s="1290"/>
      <c r="W284" s="116"/>
    </row>
    <row r="285" spans="1:23">
      <c r="A285" s="1112" t="s">
        <v>252</v>
      </c>
      <c r="B285" s="440" t="s">
        <v>598</v>
      </c>
      <c r="C285" s="441"/>
      <c r="D285" s="418"/>
      <c r="E285" s="418"/>
      <c r="F285" s="418"/>
      <c r="G285" s="418"/>
      <c r="H285" s="418"/>
      <c r="I285" s="418"/>
      <c r="J285" s="418"/>
      <c r="K285" s="418"/>
      <c r="L285" s="2929"/>
      <c r="M285" s="3176"/>
      <c r="N285" s="3176"/>
      <c r="O285" s="3176"/>
      <c r="P285" s="3176"/>
      <c r="Q285" s="1709"/>
      <c r="R285" s="1079"/>
      <c r="S285" s="1072"/>
      <c r="T285" s="1079"/>
      <c r="U285" s="2422"/>
      <c r="V285" s="2684"/>
      <c r="W285" s="116"/>
    </row>
    <row r="286" spans="1:23">
      <c r="A286" s="1111" t="s">
        <v>1526</v>
      </c>
      <c r="B286" s="438" t="s">
        <v>609</v>
      </c>
      <c r="C286" s="439" t="s">
        <v>146</v>
      </c>
      <c r="D286" s="416">
        <v>33.25</v>
      </c>
      <c r="E286" s="416">
        <v>31.187999999999999</v>
      </c>
      <c r="F286" s="416">
        <v>29.2</v>
      </c>
      <c r="G286" s="416">
        <v>35.49</v>
      </c>
      <c r="H286" s="416">
        <v>16.643000000000001</v>
      </c>
      <c r="I286" s="416">
        <f>G286</f>
        <v>35.49</v>
      </c>
      <c r="J286" s="416">
        <v>35.587000000000003</v>
      </c>
      <c r="K286" s="416">
        <v>35.348999999999997</v>
      </c>
      <c r="L286" s="415">
        <v>35.49</v>
      </c>
      <c r="M286" s="1485"/>
      <c r="N286" s="1485"/>
      <c r="O286" s="1485"/>
      <c r="P286" s="1485"/>
      <c r="Q286" s="1604">
        <v>31.5</v>
      </c>
      <c r="R286" s="1030">
        <v>31.5</v>
      </c>
      <c r="S286" s="1034">
        <v>31.5</v>
      </c>
      <c r="T286" s="3191" t="s">
        <v>1749</v>
      </c>
      <c r="U286" s="1290"/>
      <c r="V286" s="2684"/>
      <c r="W286" s="116"/>
    </row>
    <row r="287" spans="1:23">
      <c r="A287" s="1111" t="s">
        <v>105</v>
      </c>
      <c r="B287" s="438" t="s">
        <v>606</v>
      </c>
      <c r="C287" s="439" t="s">
        <v>143</v>
      </c>
      <c r="D287" s="416">
        <v>21.5</v>
      </c>
      <c r="E287" s="416">
        <v>21.5</v>
      </c>
      <c r="F287" s="416">
        <v>21</v>
      </c>
      <c r="G287" s="416">
        <v>21</v>
      </c>
      <c r="H287" s="416">
        <v>21</v>
      </c>
      <c r="I287" s="416">
        <v>21</v>
      </c>
      <c r="J287" s="416">
        <f>H287*1.045</f>
        <v>21.945</v>
      </c>
      <c r="K287" s="416">
        <f>I287*1.043</f>
        <v>21.902999999999999</v>
      </c>
      <c r="L287" s="415">
        <f>I287*1.043</f>
        <v>21.902999999999999</v>
      </c>
      <c r="M287" s="1485"/>
      <c r="N287" s="1485"/>
      <c r="O287" s="1485"/>
      <c r="P287" s="1485"/>
      <c r="Q287" s="1604">
        <v>22.13</v>
      </c>
      <c r="R287" s="1030">
        <v>24.1</v>
      </c>
      <c r="S287" s="1034">
        <v>26.05</v>
      </c>
      <c r="T287" s="1030"/>
      <c r="U287" s="1290"/>
      <c r="V287" s="2684"/>
      <c r="W287" s="116"/>
    </row>
    <row r="288" spans="1:23">
      <c r="A288" s="1110" t="s">
        <v>270</v>
      </c>
      <c r="B288" s="435" t="s">
        <v>608</v>
      </c>
      <c r="C288" s="436" t="s">
        <v>11</v>
      </c>
      <c r="D288" s="433">
        <f t="shared" ref="D288" si="78">D286*D287</f>
        <v>714.875</v>
      </c>
      <c r="E288" s="433">
        <f>E286*E287</f>
        <v>670.54200000000003</v>
      </c>
      <c r="F288" s="433">
        <v>613.19999999999993</v>
      </c>
      <c r="G288" s="433">
        <f>G286*G287</f>
        <v>745.29000000000008</v>
      </c>
      <c r="H288" s="433">
        <f t="shared" ref="H288:I288" si="79">H286*H287</f>
        <v>349.50300000000004</v>
      </c>
      <c r="I288" s="433">
        <f t="shared" si="79"/>
        <v>745.29000000000008</v>
      </c>
      <c r="J288" s="433">
        <f t="shared" ref="J288:S288" si="80">J286*J287</f>
        <v>780.95671500000003</v>
      </c>
      <c r="K288" s="433">
        <f t="shared" si="80"/>
        <v>774.24914699999988</v>
      </c>
      <c r="L288" s="2623">
        <f t="shared" si="80"/>
        <v>777.33747000000005</v>
      </c>
      <c r="M288" s="3161"/>
      <c r="N288" s="3161"/>
      <c r="O288" s="3161"/>
      <c r="P288" s="3161"/>
      <c r="Q288" s="2626">
        <f t="shared" si="80"/>
        <v>697.09499999999991</v>
      </c>
      <c r="R288" s="433">
        <f t="shared" si="80"/>
        <v>759.15000000000009</v>
      </c>
      <c r="S288" s="433">
        <f t="shared" si="80"/>
        <v>820.57500000000005</v>
      </c>
      <c r="T288" s="1047"/>
      <c r="U288" s="1290"/>
      <c r="V288" s="1290"/>
      <c r="W288" s="116"/>
    </row>
    <row r="289" spans="1:23" ht="30">
      <c r="A289" s="1112" t="s">
        <v>603</v>
      </c>
      <c r="B289" s="440" t="s">
        <v>611</v>
      </c>
      <c r="C289" s="441"/>
      <c r="D289" s="418"/>
      <c r="E289" s="418"/>
      <c r="F289" s="418"/>
      <c r="G289" s="418"/>
      <c r="H289" s="418"/>
      <c r="I289" s="418"/>
      <c r="J289" s="418"/>
      <c r="K289" s="418"/>
      <c r="L289" s="2929"/>
      <c r="M289" s="3176"/>
      <c r="N289" s="3176"/>
      <c r="O289" s="3176"/>
      <c r="P289" s="3176"/>
      <c r="Q289" s="1709"/>
      <c r="R289" s="1079"/>
      <c r="S289" s="1072"/>
      <c r="T289" s="1079"/>
      <c r="U289" s="2422"/>
      <c r="V289" s="2684"/>
      <c r="W289" s="116"/>
    </row>
    <row r="290" spans="1:23">
      <c r="A290" s="1111" t="s">
        <v>106</v>
      </c>
      <c r="B290" s="438" t="s">
        <v>609</v>
      </c>
      <c r="C290" s="439" t="s">
        <v>146</v>
      </c>
      <c r="D290" s="416">
        <v>31.79</v>
      </c>
      <c r="E290" s="416">
        <v>28.488</v>
      </c>
      <c r="F290" s="416">
        <v>29.93</v>
      </c>
      <c r="G290" s="416">
        <v>29.218</v>
      </c>
      <c r="H290" s="416">
        <v>11.56</v>
      </c>
      <c r="I290" s="416">
        <f>G290</f>
        <v>29.218</v>
      </c>
      <c r="J290" s="416">
        <v>28.283999999999999</v>
      </c>
      <c r="K290" s="416">
        <v>29.100999999999999</v>
      </c>
      <c r="L290" s="415">
        <v>29.204000000000001</v>
      </c>
      <c r="M290" s="1485"/>
      <c r="N290" s="1485"/>
      <c r="O290" s="1485"/>
      <c r="P290" s="1485"/>
      <c r="Q290" s="1604">
        <f>J290</f>
        <v>28.283999999999999</v>
      </c>
      <c r="R290" s="1604">
        <f>K290</f>
        <v>29.100999999999999</v>
      </c>
      <c r="S290" s="1604">
        <f>L290</f>
        <v>29.204000000000001</v>
      </c>
      <c r="T290" s="1030"/>
      <c r="U290" s="1290"/>
      <c r="V290" s="2684"/>
      <c r="W290" s="116"/>
    </row>
    <row r="291" spans="1:23">
      <c r="A291" s="1111" t="s">
        <v>108</v>
      </c>
      <c r="B291" s="438" t="s">
        <v>606</v>
      </c>
      <c r="C291" s="439" t="s">
        <v>143</v>
      </c>
      <c r="D291" s="416">
        <v>12.24</v>
      </c>
      <c r="E291" s="416">
        <v>12.24</v>
      </c>
      <c r="F291" s="416">
        <f>(12.24+13.3)/2</f>
        <v>12.77</v>
      </c>
      <c r="G291" s="416">
        <f>(12.24+13.3)/2</f>
        <v>12.77</v>
      </c>
      <c r="H291" s="416">
        <v>12.77</v>
      </c>
      <c r="I291" s="416">
        <v>12.77</v>
      </c>
      <c r="J291" s="416">
        <f>G291*1.045</f>
        <v>13.344649999999998</v>
      </c>
      <c r="K291" s="416">
        <f>J291*1.043</f>
        <v>13.918469949999997</v>
      </c>
      <c r="L291" s="415">
        <f>K291*1.043</f>
        <v>14.516964157849996</v>
      </c>
      <c r="M291" s="1485"/>
      <c r="N291" s="1485"/>
      <c r="O291" s="1485"/>
      <c r="P291" s="1485"/>
      <c r="Q291" s="1604">
        <v>14.15</v>
      </c>
      <c r="R291" s="1030">
        <v>15.35</v>
      </c>
      <c r="S291" s="1034">
        <v>16.04</v>
      </c>
      <c r="T291" s="1030"/>
      <c r="U291" s="1290"/>
      <c r="V291" s="2684"/>
      <c r="W291" s="116"/>
    </row>
    <row r="292" spans="1:23">
      <c r="A292" s="1110" t="s">
        <v>110</v>
      </c>
      <c r="B292" s="435" t="s">
        <v>608</v>
      </c>
      <c r="C292" s="436" t="s">
        <v>11</v>
      </c>
      <c r="D292" s="433">
        <f t="shared" ref="D292" si="81">D290*D291</f>
        <v>389.1096</v>
      </c>
      <c r="E292" s="433">
        <f>E290*E291</f>
        <v>348.69312000000002</v>
      </c>
      <c r="F292" s="433">
        <v>382.20609999999999</v>
      </c>
      <c r="G292" s="433">
        <f>G290*G291</f>
        <v>373.11385999999999</v>
      </c>
      <c r="H292" s="433">
        <f t="shared" ref="H292:T292" si="82">H290*H291</f>
        <v>147.62119999999999</v>
      </c>
      <c r="I292" s="433">
        <f t="shared" si="82"/>
        <v>373.11385999999999</v>
      </c>
      <c r="J292" s="433">
        <f t="shared" si="82"/>
        <v>377.44008059999993</v>
      </c>
      <c r="K292" s="433">
        <f t="shared" si="82"/>
        <v>405.0413940149499</v>
      </c>
      <c r="L292" s="2623">
        <f t="shared" si="82"/>
        <v>423.95342126585132</v>
      </c>
      <c r="M292" s="3161"/>
      <c r="N292" s="3161"/>
      <c r="O292" s="3161"/>
      <c r="P292" s="3161"/>
      <c r="Q292" s="2626">
        <f t="shared" si="82"/>
        <v>400.21859999999998</v>
      </c>
      <c r="R292" s="433">
        <f t="shared" si="82"/>
        <v>446.70034999999996</v>
      </c>
      <c r="S292" s="433">
        <f t="shared" si="82"/>
        <v>468.43216000000001</v>
      </c>
      <c r="T292" s="1047">
        <f t="shared" si="82"/>
        <v>0</v>
      </c>
      <c r="U292" s="1290"/>
      <c r="V292" s="1290"/>
      <c r="W292" s="116"/>
    </row>
    <row r="293" spans="1:23">
      <c r="A293" s="1113"/>
      <c r="B293" s="442" t="s">
        <v>1380</v>
      </c>
      <c r="C293" s="443" t="s">
        <v>11</v>
      </c>
      <c r="D293" s="437">
        <f t="shared" ref="D293" si="83">D284+D288+D292</f>
        <v>1377.5387000000001</v>
      </c>
      <c r="E293" s="437">
        <f>E284+E288+E292</f>
        <v>1177.8684000000001</v>
      </c>
      <c r="F293" s="437">
        <v>995.40609999999992</v>
      </c>
      <c r="G293" s="437">
        <f>G284+G288+G292</f>
        <v>1277.0371400000001</v>
      </c>
      <c r="H293" s="437">
        <f t="shared" ref="H293:I293" si="84">H284+H288+H292</f>
        <v>548.04178999999999</v>
      </c>
      <c r="I293" s="437">
        <f t="shared" si="84"/>
        <v>1277.0371400000001</v>
      </c>
      <c r="J293" s="437">
        <f t="shared" ref="J293:L293" si="85">J284+J288+J292</f>
        <v>1324.1685731999999</v>
      </c>
      <c r="K293" s="437">
        <f t="shared" si="85"/>
        <v>1344.7450520549498</v>
      </c>
      <c r="L293" s="2928">
        <f t="shared" si="85"/>
        <v>1366.7454023058515</v>
      </c>
      <c r="M293" s="3175"/>
      <c r="N293" s="3175"/>
      <c r="O293" s="3175"/>
      <c r="P293" s="3175"/>
      <c r="Q293" s="2656">
        <f>Q284+Q288+Q292</f>
        <v>1097.3136</v>
      </c>
      <c r="R293" s="2656">
        <f t="shared" ref="R293:S293" si="86">R284+R288+R292</f>
        <v>1205.8503500000002</v>
      </c>
      <c r="S293" s="2656">
        <f t="shared" si="86"/>
        <v>1289.0071600000001</v>
      </c>
      <c r="T293" s="2938"/>
      <c r="U293" s="2422"/>
      <c r="V293" s="2422"/>
      <c r="W293" s="116"/>
    </row>
    <row r="294" spans="1:23" ht="45">
      <c r="A294" s="2941"/>
      <c r="B294" s="2942" t="s">
        <v>959</v>
      </c>
      <c r="C294" s="2943"/>
      <c r="D294" s="2944"/>
      <c r="E294" s="2944">
        <v>100000</v>
      </c>
      <c r="F294" s="2944">
        <v>50000</v>
      </c>
      <c r="G294" s="2944">
        <v>50000</v>
      </c>
      <c r="H294" s="2944">
        <v>16524.64</v>
      </c>
      <c r="I294" s="2944">
        <v>50000</v>
      </c>
      <c r="J294" s="2944">
        <f>274534.97-74990.51-50000</f>
        <v>149544.45999999996</v>
      </c>
      <c r="K294" s="2944">
        <v>0</v>
      </c>
      <c r="L294" s="2945">
        <v>0</v>
      </c>
      <c r="M294" s="2945"/>
      <c r="N294" s="2945"/>
      <c r="O294" s="2945"/>
      <c r="P294" s="2945"/>
      <c r="Q294" s="2944">
        <f>274534.97-74990.51-50000-41878.22-113.6</f>
        <v>107552.63999999996</v>
      </c>
      <c r="R294" s="2946">
        <v>0</v>
      </c>
      <c r="S294" s="2947">
        <v>0</v>
      </c>
      <c r="T294" s="2946"/>
      <c r="U294" s="2422"/>
      <c r="V294" s="2933"/>
      <c r="W294" s="116"/>
    </row>
    <row r="295" spans="1:23" ht="45">
      <c r="A295" s="2948"/>
      <c r="B295" s="2949" t="s">
        <v>1330</v>
      </c>
      <c r="C295" s="2950"/>
      <c r="D295" s="1385"/>
      <c r="E295" s="1385"/>
      <c r="F295" s="1385"/>
      <c r="G295" s="1385"/>
      <c r="H295" s="1385"/>
      <c r="I295" s="1385"/>
      <c r="J295" s="1385"/>
      <c r="K295" s="1385">
        <f>'эксплуат. затр. по очистным'!B10</f>
        <v>157000.92379424002</v>
      </c>
      <c r="L295" s="2951">
        <f>K295</f>
        <v>157000.92379424002</v>
      </c>
      <c r="M295" s="3177"/>
      <c r="N295" s="3177"/>
      <c r="O295" s="3177"/>
      <c r="P295" s="3177"/>
      <c r="Q295" s="2952"/>
      <c r="R295" s="1385">
        <v>157000</v>
      </c>
      <c r="S295" s="1385">
        <f>R295</f>
        <v>157000</v>
      </c>
      <c r="T295" s="2953">
        <f>'эксплуат. затр. по очистным'!H10</f>
        <v>0</v>
      </c>
      <c r="U295" s="2422"/>
      <c r="V295" s="2933"/>
      <c r="W295" s="116"/>
    </row>
    <row r="296" spans="1:23" ht="15.75" thickBot="1">
      <c r="A296" s="1769"/>
      <c r="B296" s="444" t="s">
        <v>157</v>
      </c>
      <c r="C296" s="542"/>
      <c r="D296" s="444">
        <v>2400</v>
      </c>
      <c r="E296" s="444">
        <f>E280+E293+E294+E295</f>
        <v>102071.55247</v>
      </c>
      <c r="F296" s="444">
        <f>F280+F293+F294+F295+F279</f>
        <v>58804.290899999993</v>
      </c>
      <c r="G296" s="444">
        <f>G280+G293+G294+G295</f>
        <v>52160.806530000002</v>
      </c>
      <c r="H296" s="444">
        <f t="shared" ref="H296:I296" si="87">H280+H293+H294+H295</f>
        <v>17443.223030000001</v>
      </c>
      <c r="I296" s="444">
        <f t="shared" si="87"/>
        <v>52160.806530000002</v>
      </c>
      <c r="J296" s="444">
        <f>J280+J293+J294+J295</f>
        <v>151794.69949534995</v>
      </c>
      <c r="K296" s="444">
        <f>K280+K293+K294+K295</f>
        <v>159305.54956498803</v>
      </c>
      <c r="L296" s="2930">
        <f t="shared" ref="L296" si="88">L280+L293+L294+L295</f>
        <v>159372.34018780937</v>
      </c>
      <c r="M296" s="3178"/>
      <c r="N296" s="3178"/>
      <c r="O296" s="3178"/>
      <c r="P296" s="3178"/>
      <c r="Q296" s="2636">
        <f>Q280+Q293+Q294+Q295</f>
        <v>116999.89666999996</v>
      </c>
      <c r="R296" s="2636">
        <f t="shared" ref="R296:S296" si="89">R280+R293+R294+R295</f>
        <v>166792.22162249999</v>
      </c>
      <c r="S296" s="2636">
        <f t="shared" si="89"/>
        <v>167138.59626019502</v>
      </c>
      <c r="T296" s="2004">
        <f t="shared" ref="T296" si="90">T280+T293+T294</f>
        <v>0</v>
      </c>
      <c r="U296" s="2422"/>
      <c r="V296" s="2686"/>
      <c r="W296" s="116"/>
    </row>
    <row r="297" spans="1:23">
      <c r="U297" s="116"/>
      <c r="V297" s="116"/>
      <c r="W297" s="116"/>
    </row>
    <row r="298" spans="1:23">
      <c r="A298" s="370" t="s">
        <v>535</v>
      </c>
      <c r="B298" s="370"/>
      <c r="C298" s="370"/>
      <c r="D298" s="370"/>
      <c r="E298" s="370"/>
      <c r="F298" s="370"/>
      <c r="G298" s="370"/>
      <c r="H298" s="370"/>
      <c r="I298" s="370"/>
      <c r="J298" s="370"/>
      <c r="K298" s="370"/>
      <c r="L298" s="370"/>
      <c r="M298" s="370"/>
      <c r="N298" s="370"/>
      <c r="O298" s="370"/>
      <c r="P298" s="370"/>
      <c r="Q298" s="370"/>
      <c r="R298" s="370"/>
      <c r="S298" s="370"/>
      <c r="T298" s="370"/>
      <c r="U298" s="370"/>
      <c r="V298" s="370"/>
      <c r="W298" s="370"/>
    </row>
    <row r="300" spans="1:23" ht="15.75" thickBot="1">
      <c r="A300" s="57" t="s">
        <v>1787</v>
      </c>
      <c r="B300" s="57"/>
      <c r="C300" s="57"/>
    </row>
    <row r="301" spans="1:23" ht="15.75" thickBot="1">
      <c r="A301" s="3389" t="s">
        <v>0</v>
      </c>
      <c r="B301" s="3389" t="s">
        <v>1</v>
      </c>
      <c r="C301" s="3389" t="s">
        <v>2</v>
      </c>
      <c r="D301" s="3432" t="s">
        <v>165</v>
      </c>
      <c r="E301" s="3433"/>
      <c r="F301" s="3433"/>
      <c r="G301" s="3433"/>
      <c r="H301" s="3433"/>
      <c r="I301" s="3433"/>
      <c r="J301" s="3433"/>
      <c r="K301" s="3433"/>
      <c r="L301" s="3433"/>
      <c r="M301" s="3081"/>
      <c r="N301" s="3081"/>
      <c r="O301" s="3081"/>
      <c r="P301" s="3081"/>
      <c r="Q301" s="3432" t="s">
        <v>166</v>
      </c>
      <c r="R301" s="3433"/>
      <c r="S301" s="3433"/>
      <c r="T301" s="3434"/>
      <c r="U301" s="2683"/>
      <c r="V301" s="3449"/>
      <c r="W301" s="3449"/>
    </row>
    <row r="302" spans="1:23" ht="15.75" customHeight="1" thickBot="1">
      <c r="A302" s="3401"/>
      <c r="B302" s="3401"/>
      <c r="C302" s="3401"/>
      <c r="D302" s="3418" t="s">
        <v>1196</v>
      </c>
      <c r="E302" s="3419"/>
      <c r="F302" s="3418">
        <v>2015</v>
      </c>
      <c r="G302" s="3419"/>
      <c r="H302" s="3389" t="s">
        <v>1375</v>
      </c>
      <c r="I302" s="3389" t="s">
        <v>1376</v>
      </c>
      <c r="J302" s="3389" t="s">
        <v>394</v>
      </c>
      <c r="K302" s="3389" t="s">
        <v>395</v>
      </c>
      <c r="L302" s="3387" t="s">
        <v>1155</v>
      </c>
      <c r="M302" s="3075"/>
      <c r="N302" s="3075"/>
      <c r="O302" s="3075"/>
      <c r="P302" s="3075"/>
      <c r="Q302" s="3389" t="s">
        <v>394</v>
      </c>
      <c r="R302" s="3389" t="s">
        <v>395</v>
      </c>
      <c r="S302" s="3495" t="s">
        <v>1155</v>
      </c>
      <c r="T302" s="3389" t="s">
        <v>1061</v>
      </c>
      <c r="U302" s="3631"/>
      <c r="V302" s="3631"/>
      <c r="W302" s="3631"/>
    </row>
    <row r="303" spans="1:23" ht="29.25" customHeight="1" thickBot="1">
      <c r="A303" s="3390"/>
      <c r="B303" s="3390"/>
      <c r="C303" s="3390"/>
      <c r="D303" s="1772" t="s">
        <v>5</v>
      </c>
      <c r="E303" s="4" t="s">
        <v>6</v>
      </c>
      <c r="F303" s="4" t="s">
        <v>7</v>
      </c>
      <c r="G303" s="4" t="s">
        <v>8</v>
      </c>
      <c r="H303" s="3390"/>
      <c r="I303" s="3390"/>
      <c r="J303" s="3390"/>
      <c r="K303" s="3390"/>
      <c r="L303" s="3388"/>
      <c r="M303" s="3076"/>
      <c r="N303" s="3076"/>
      <c r="O303" s="3076"/>
      <c r="P303" s="3076"/>
      <c r="Q303" s="3390"/>
      <c r="R303" s="3390"/>
      <c r="S303" s="3496"/>
      <c r="T303" s="3390"/>
      <c r="U303" s="3631"/>
      <c r="V303" s="3631"/>
      <c r="W303" s="3631"/>
    </row>
    <row r="304" spans="1:23">
      <c r="A304" s="534">
        <v>1</v>
      </c>
      <c r="B304" s="3">
        <v>2</v>
      </c>
      <c r="C304" s="3">
        <v>3</v>
      </c>
      <c r="D304" s="3">
        <v>4</v>
      </c>
      <c r="E304" s="3">
        <v>5</v>
      </c>
      <c r="F304" s="3">
        <v>6</v>
      </c>
      <c r="G304" s="3">
        <v>7</v>
      </c>
      <c r="H304" s="3">
        <v>8</v>
      </c>
      <c r="I304" s="3">
        <v>9</v>
      </c>
      <c r="J304" s="3">
        <v>10</v>
      </c>
      <c r="K304" s="3">
        <v>11</v>
      </c>
      <c r="L304" s="2934">
        <v>12</v>
      </c>
      <c r="M304" s="3172"/>
      <c r="N304" s="3172"/>
      <c r="O304" s="3172"/>
      <c r="P304" s="3172"/>
      <c r="Q304" s="534">
        <v>13</v>
      </c>
      <c r="R304" s="1052">
        <v>14</v>
      </c>
      <c r="S304" s="993">
        <v>15</v>
      </c>
      <c r="T304" s="2632">
        <v>16</v>
      </c>
      <c r="U304" s="116"/>
      <c r="V304" s="2684"/>
      <c r="W304" s="116"/>
    </row>
    <row r="305" spans="1:24" ht="30">
      <c r="A305" s="1037">
        <v>1</v>
      </c>
      <c r="B305" s="119" t="s">
        <v>613</v>
      </c>
      <c r="C305" s="119" t="s">
        <v>11</v>
      </c>
      <c r="D305" s="416">
        <v>798.54428966400008</v>
      </c>
      <c r="E305" s="416">
        <f>'расшифровка кредитов'!C97</f>
        <v>532.33184797719991</v>
      </c>
      <c r="F305" s="416"/>
      <c r="G305" s="416"/>
      <c r="H305" s="416"/>
      <c r="I305" s="416"/>
      <c r="J305" s="416"/>
      <c r="K305" s="416"/>
      <c r="L305" s="50"/>
      <c r="M305" s="1481"/>
      <c r="N305" s="1481"/>
      <c r="O305" s="1481"/>
      <c r="P305" s="1481"/>
      <c r="Q305" s="1036"/>
      <c r="R305" s="998"/>
      <c r="S305" s="1034"/>
      <c r="T305" s="1030"/>
      <c r="U305" s="1290"/>
      <c r="V305" s="2684"/>
      <c r="W305" s="116"/>
    </row>
    <row r="306" spans="1:24" ht="30">
      <c r="A306" s="1037">
        <v>2</v>
      </c>
      <c r="B306" s="119" t="s">
        <v>612</v>
      </c>
      <c r="C306" s="119" t="s">
        <v>11</v>
      </c>
      <c r="D306" s="416">
        <v>834.15103948800004</v>
      </c>
      <c r="E306" s="416">
        <f>'расшифровка кредитов'!C98</f>
        <v>499.68253554779994</v>
      </c>
      <c r="F306" s="416"/>
      <c r="G306" s="416"/>
      <c r="H306" s="416"/>
      <c r="I306" s="416"/>
      <c r="J306" s="416"/>
      <c r="K306" s="416"/>
      <c r="L306" s="50"/>
      <c r="M306" s="1481"/>
      <c r="N306" s="1481"/>
      <c r="O306" s="1481"/>
      <c r="P306" s="1481"/>
      <c r="Q306" s="1036"/>
      <c r="R306" s="998"/>
      <c r="S306" s="1034"/>
      <c r="T306" s="1030"/>
      <c r="U306" s="1290"/>
      <c r="V306" s="2684"/>
      <c r="W306" s="116"/>
    </row>
    <row r="307" spans="1:24" ht="30">
      <c r="A307" s="1037">
        <v>3</v>
      </c>
      <c r="B307" s="14" t="s">
        <v>614</v>
      </c>
      <c r="C307" s="119" t="s">
        <v>11</v>
      </c>
      <c r="D307" s="416">
        <v>2225.6185881600004</v>
      </c>
      <c r="E307" s="416">
        <f>'расшифровка кредитов'!C100</f>
        <v>2819.4719586597998</v>
      </c>
      <c r="F307" s="416">
        <v>2023.2896256000004</v>
      </c>
      <c r="G307" s="416">
        <f>'расшифровка кредитов'!D100</f>
        <v>7731.165</v>
      </c>
      <c r="H307" s="416">
        <f>'расшифровка кредитов'!H100/1000</f>
        <v>3180.3901567602998</v>
      </c>
      <c r="I307" s="416">
        <f>'расшифровка кредитов'!I100/1000</f>
        <v>3286.2486767632904</v>
      </c>
      <c r="J307" s="416">
        <f>'расшифровка кредитов'!J100/1000</f>
        <v>5121.0708333333341</v>
      </c>
      <c r="K307" s="416">
        <f>'расшифровка кредитов'!K100/1000</f>
        <v>0</v>
      </c>
      <c r="L307" s="415">
        <f>'расшифровка кредитов'!L100/1000</f>
        <v>0</v>
      </c>
      <c r="M307" s="1485"/>
      <c r="N307" s="1485"/>
      <c r="O307" s="1485"/>
      <c r="P307" s="1485"/>
      <c r="Q307" s="1604">
        <f>J307</f>
        <v>5121.0708333333341</v>
      </c>
      <c r="R307" s="1030">
        <f>K307</f>
        <v>0</v>
      </c>
      <c r="S307" s="1030">
        <f>L307</f>
        <v>0</v>
      </c>
      <c r="T307" s="1030"/>
      <c r="U307" s="1290"/>
      <c r="V307" s="2684"/>
      <c r="W307" s="116"/>
    </row>
    <row r="308" spans="1:24" ht="30">
      <c r="A308" s="1037">
        <v>4</v>
      </c>
      <c r="B308" s="14" t="s">
        <v>615</v>
      </c>
      <c r="C308" s="119" t="s">
        <v>11</v>
      </c>
      <c r="D308" s="416">
        <v>862.70362675199999</v>
      </c>
      <c r="E308" s="416">
        <f>'расшифровка кредитов'!C99</f>
        <v>680.03987859019992</v>
      </c>
      <c r="F308" s="416">
        <v>784.27602431999992</v>
      </c>
      <c r="G308" s="416">
        <f>'расшифровка кредитов'!D99</f>
        <v>710.11228733898315</v>
      </c>
      <c r="H308" s="416">
        <f>'расшифровка кредитов'!H99/1000</f>
        <v>453.93389793009999</v>
      </c>
      <c r="I308" s="416">
        <f>'расшифровка кредитов'!I99/1000</f>
        <v>75.65564965501666</v>
      </c>
      <c r="J308" s="416">
        <f>'расшифровка кредитов'!J99/1000</f>
        <v>0</v>
      </c>
      <c r="K308" s="416">
        <f>'расшифровка кредитов'!K99/1000</f>
        <v>0</v>
      </c>
      <c r="L308" s="415">
        <f>'расшифровка кредитов'!L99/1000</f>
        <v>0</v>
      </c>
      <c r="M308" s="1485"/>
      <c r="N308" s="1485"/>
      <c r="O308" s="1485"/>
      <c r="P308" s="1485"/>
      <c r="Q308" s="1604">
        <f>K308</f>
        <v>0</v>
      </c>
      <c r="R308" s="1604">
        <f>L308</f>
        <v>0</v>
      </c>
      <c r="S308" s="1604">
        <f t="shared" ref="S308" si="91">Q308</f>
        <v>0</v>
      </c>
      <c r="T308" s="1030">
        <f>'расшифровка кредитов'!P99/1000</f>
        <v>0</v>
      </c>
      <c r="U308" s="1290"/>
      <c r="V308" s="2684"/>
      <c r="W308" s="116"/>
    </row>
    <row r="309" spans="1:24">
      <c r="A309" s="75">
        <v>5</v>
      </c>
      <c r="B309" s="14" t="s">
        <v>616</v>
      </c>
      <c r="C309" s="119" t="s">
        <v>11</v>
      </c>
      <c r="D309" s="2005"/>
      <c r="E309" s="2005">
        <f>'расшифровка кредитов'!C104</f>
        <v>50.328234834799993</v>
      </c>
      <c r="F309" s="2005">
        <v>7372.8</v>
      </c>
      <c r="G309" s="2005">
        <f>'расшифровка кредитов'!D104</f>
        <v>4668.4342499999993</v>
      </c>
      <c r="H309" s="2005">
        <f>'расшифровка кредитов'!H104/1000</f>
        <v>1783.6628576825997</v>
      </c>
      <c r="I309" s="2005">
        <f>'расшифровка кредитов'!I104/1000</f>
        <v>5498.7062417921888</v>
      </c>
      <c r="J309" s="2005">
        <f>'расшифровка кредитов'!J104/1000</f>
        <v>10593.678399999999</v>
      </c>
      <c r="K309" s="2005">
        <f>'расшифровка кредитов'!K104/1000</f>
        <v>7702.916512499999</v>
      </c>
      <c r="L309" s="2954">
        <f>'расшифровка кредитов'!L104/1000</f>
        <v>3851.4582562499995</v>
      </c>
      <c r="M309" s="3179"/>
      <c r="N309" s="3179"/>
      <c r="O309" s="3179"/>
      <c r="P309" s="3179"/>
      <c r="Q309" s="1604">
        <f t="shared" ref="Q309:S310" si="92">J309</f>
        <v>10593.678399999999</v>
      </c>
      <c r="R309" s="1604">
        <f t="shared" si="92"/>
        <v>7702.916512499999</v>
      </c>
      <c r="S309" s="1604">
        <f t="shared" si="92"/>
        <v>3851.4582562499995</v>
      </c>
      <c r="T309" s="1030"/>
      <c r="U309" s="1290"/>
      <c r="V309" s="2684"/>
      <c r="W309" s="116"/>
    </row>
    <row r="310" spans="1:24" ht="15.75" thickBot="1">
      <c r="A310" s="75">
        <v>6</v>
      </c>
      <c r="B310" s="2002" t="s">
        <v>1372</v>
      </c>
      <c r="C310" s="119" t="s">
        <v>11</v>
      </c>
      <c r="D310" s="2005"/>
      <c r="E310" s="2005"/>
      <c r="F310" s="2005"/>
      <c r="G310" s="2005"/>
      <c r="H310" s="2005">
        <f>'расшифровка кредитов'!H105/1000</f>
        <v>0</v>
      </c>
      <c r="I310" s="2005">
        <f>'расшифровка кредитов'!I105/1000</f>
        <v>1024.2141666666666</v>
      </c>
      <c r="J310" s="2005">
        <f>'расшифровка кредитов'!J105/1000</f>
        <v>1331.4784166666668</v>
      </c>
      <c r="K310" s="2005">
        <f>'расшифровка кредитов'!K105/1000</f>
        <v>0</v>
      </c>
      <c r="L310" s="2954">
        <f>'расшифровка кредитов'!L105/1000</f>
        <v>0</v>
      </c>
      <c r="M310" s="3179"/>
      <c r="N310" s="3179"/>
      <c r="O310" s="3179"/>
      <c r="P310" s="3179"/>
      <c r="Q310" s="1604">
        <f t="shared" si="92"/>
        <v>1331.4784166666668</v>
      </c>
      <c r="R310" s="1604">
        <f t="shared" si="92"/>
        <v>0</v>
      </c>
      <c r="S310" s="1604">
        <f t="shared" si="92"/>
        <v>0</v>
      </c>
      <c r="T310" s="1030"/>
      <c r="U310" s="1290"/>
      <c r="V310" s="2684"/>
      <c r="W310" s="116"/>
    </row>
    <row r="311" spans="1:24" ht="15.75" thickBot="1">
      <c r="A311" s="1769"/>
      <c r="B311" s="430" t="s">
        <v>157</v>
      </c>
      <c r="C311" s="2003" t="s">
        <v>11</v>
      </c>
      <c r="D311" s="444">
        <f>SUM(D305:D309)+35</f>
        <v>4756.0175440640005</v>
      </c>
      <c r="E311" s="444">
        <f t="shared" ref="E311:T311" si="93">SUM(E305:E309)</f>
        <v>4581.8544556097995</v>
      </c>
      <c r="F311" s="444">
        <f>SUM(F305:F309)</f>
        <v>10180.365649920001</v>
      </c>
      <c r="G311" s="444">
        <f t="shared" si="93"/>
        <v>13109.711537338982</v>
      </c>
      <c r="H311" s="444">
        <f>SUM(H305:H310)</f>
        <v>5417.9869123729995</v>
      </c>
      <c r="I311" s="444">
        <f t="shared" ref="I311:L311" si="94">SUM(I305:I310)</f>
        <v>9884.824734877162</v>
      </c>
      <c r="J311" s="444">
        <f t="shared" si="94"/>
        <v>17046.227650000001</v>
      </c>
      <c r="K311" s="444">
        <f t="shared" si="94"/>
        <v>7702.916512499999</v>
      </c>
      <c r="L311" s="2930">
        <f t="shared" si="94"/>
        <v>3851.4582562499995</v>
      </c>
      <c r="M311" s="3178"/>
      <c r="N311" s="3178"/>
      <c r="O311" s="3178"/>
      <c r="P311" s="3178"/>
      <c r="Q311" s="2636">
        <f>SUM(Q305:Q310)</f>
        <v>17046.227650000001</v>
      </c>
      <c r="R311" s="2636">
        <f t="shared" ref="R311:S311" si="95">SUM(R305:R310)</f>
        <v>7702.916512499999</v>
      </c>
      <c r="S311" s="2636">
        <f t="shared" si="95"/>
        <v>3851.4582562499995</v>
      </c>
      <c r="T311" s="2004">
        <f t="shared" si="93"/>
        <v>0</v>
      </c>
      <c r="U311" s="2422"/>
      <c r="V311" s="2686"/>
      <c r="W311" s="116"/>
    </row>
    <row r="312" spans="1:24">
      <c r="A312" s="116"/>
      <c r="B312" s="117"/>
      <c r="C312" s="118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  <c r="Q312" s="117"/>
      <c r="R312" s="117"/>
      <c r="S312" s="117"/>
    </row>
    <row r="313" spans="1:24">
      <c r="A313" s="371" t="s">
        <v>536</v>
      </c>
      <c r="B313" s="117"/>
      <c r="C313" s="118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  <c r="Q313" s="117"/>
      <c r="R313" s="117"/>
      <c r="S313" s="117"/>
    </row>
    <row r="314" spans="1:24">
      <c r="A314" s="116"/>
      <c r="B314" s="117"/>
      <c r="C314" s="118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  <c r="Q314" s="117"/>
      <c r="R314" s="117"/>
      <c r="S314" s="117"/>
    </row>
    <row r="315" spans="1:24" ht="15.75" thickBot="1">
      <c r="A315" s="57" t="s">
        <v>1788</v>
      </c>
      <c r="B315" s="57"/>
      <c r="C315" s="5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  <c r="Q315" s="117"/>
      <c r="R315" s="117"/>
      <c r="S315" s="117"/>
    </row>
    <row r="316" spans="1:24" ht="15.75" thickBot="1">
      <c r="A316" s="3389" t="s">
        <v>0</v>
      </c>
      <c r="B316" s="3389" t="s">
        <v>1</v>
      </c>
      <c r="C316" s="3389" t="s">
        <v>2</v>
      </c>
      <c r="D316" s="3432" t="s">
        <v>165</v>
      </c>
      <c r="E316" s="3433"/>
      <c r="F316" s="3433"/>
      <c r="G316" s="3433"/>
      <c r="H316" s="3433"/>
      <c r="I316" s="3433"/>
      <c r="J316" s="3433"/>
      <c r="K316" s="3433"/>
      <c r="L316" s="3433"/>
      <c r="M316" s="3081"/>
      <c r="N316" s="3081"/>
      <c r="O316" s="3081"/>
      <c r="P316" s="3081"/>
      <c r="Q316" s="3432" t="s">
        <v>166</v>
      </c>
      <c r="R316" s="3433"/>
      <c r="S316" s="3433"/>
      <c r="T316" s="3434"/>
      <c r="U316" s="2683"/>
      <c r="V316" s="3449"/>
      <c r="W316" s="3449"/>
      <c r="X316" s="116"/>
    </row>
    <row r="317" spans="1:24" ht="15.75" customHeight="1" thickBot="1">
      <c r="A317" s="3401"/>
      <c r="B317" s="3401"/>
      <c r="C317" s="3401"/>
      <c r="D317" s="3418" t="s">
        <v>1196</v>
      </c>
      <c r="E317" s="3419"/>
      <c r="F317" s="3418">
        <v>2015</v>
      </c>
      <c r="G317" s="3419"/>
      <c r="H317" s="3389" t="s">
        <v>1375</v>
      </c>
      <c r="I317" s="3389" t="s">
        <v>1376</v>
      </c>
      <c r="J317" s="3389" t="s">
        <v>394</v>
      </c>
      <c r="K317" s="3389" t="s">
        <v>395</v>
      </c>
      <c r="L317" s="3387" t="s">
        <v>1155</v>
      </c>
      <c r="M317" s="3075"/>
      <c r="N317" s="3075"/>
      <c r="O317" s="3075"/>
      <c r="P317" s="3075"/>
      <c r="Q317" s="3389" t="s">
        <v>394</v>
      </c>
      <c r="R317" s="3389" t="s">
        <v>395</v>
      </c>
      <c r="S317" s="3495" t="s">
        <v>1155</v>
      </c>
      <c r="T317" s="3389" t="s">
        <v>1061</v>
      </c>
      <c r="U317" s="3631"/>
      <c r="V317" s="3631"/>
      <c r="W317" s="3631"/>
      <c r="X317" s="116"/>
    </row>
    <row r="318" spans="1:24" ht="27.75" customHeight="1" thickBot="1">
      <c r="A318" s="3390"/>
      <c r="B318" s="3390"/>
      <c r="C318" s="3390"/>
      <c r="D318" s="1535" t="s">
        <v>5</v>
      </c>
      <c r="E318" s="4" t="s">
        <v>6</v>
      </c>
      <c r="F318" s="4" t="s">
        <v>7</v>
      </c>
      <c r="G318" s="4" t="s">
        <v>8</v>
      </c>
      <c r="H318" s="3390"/>
      <c r="I318" s="3390"/>
      <c r="J318" s="3390"/>
      <c r="K318" s="3390"/>
      <c r="L318" s="3388"/>
      <c r="M318" s="3076"/>
      <c r="N318" s="3076"/>
      <c r="O318" s="3076"/>
      <c r="P318" s="3076"/>
      <c r="Q318" s="3390"/>
      <c r="R318" s="3390"/>
      <c r="S318" s="3496"/>
      <c r="T318" s="3390"/>
      <c r="U318" s="3631"/>
      <c r="V318" s="3631"/>
      <c r="W318" s="3631"/>
      <c r="X318" s="116"/>
    </row>
    <row r="319" spans="1:24" ht="27" customHeight="1">
      <c r="A319" s="534">
        <v>1</v>
      </c>
      <c r="B319" s="3">
        <v>2</v>
      </c>
      <c r="C319" s="3">
        <v>3</v>
      </c>
      <c r="D319" s="3">
        <v>4</v>
      </c>
      <c r="E319" s="3">
        <v>5</v>
      </c>
      <c r="F319" s="3">
        <v>6</v>
      </c>
      <c r="G319" s="3">
        <v>7</v>
      </c>
      <c r="H319" s="3"/>
      <c r="I319" s="3"/>
      <c r="J319" s="3"/>
      <c r="K319" s="3"/>
      <c r="L319" s="2934">
        <v>8</v>
      </c>
      <c r="M319" s="3172"/>
      <c r="N319" s="3172"/>
      <c r="O319" s="3172"/>
      <c r="P319" s="3172"/>
      <c r="Q319" s="534">
        <v>9</v>
      </c>
      <c r="R319" s="1052">
        <v>10</v>
      </c>
      <c r="S319" s="993">
        <v>11</v>
      </c>
      <c r="T319" s="2632">
        <v>12</v>
      </c>
      <c r="U319" s="116"/>
      <c r="V319" s="2684"/>
      <c r="W319" s="116"/>
      <c r="X319" s="116"/>
    </row>
    <row r="320" spans="1:24" ht="45">
      <c r="A320" s="1064">
        <v>1</v>
      </c>
      <c r="B320" s="72" t="s">
        <v>1688</v>
      </c>
      <c r="C320" s="99" t="s">
        <v>11</v>
      </c>
      <c r="D320" s="2994">
        <v>1532</v>
      </c>
      <c r="E320" s="39"/>
      <c r="F320" s="39"/>
      <c r="G320" s="39"/>
      <c r="H320" s="39"/>
      <c r="I320" s="39"/>
      <c r="J320" s="39"/>
      <c r="K320" s="39"/>
      <c r="L320" s="2955"/>
      <c r="M320" s="1482"/>
      <c r="N320" s="1482"/>
      <c r="O320" s="1482"/>
      <c r="P320" s="1482"/>
      <c r="Q320" s="2614">
        <f>D320*1.052*1.026</f>
        <v>1653.567264</v>
      </c>
      <c r="R320" s="1043"/>
      <c r="S320" s="1009"/>
      <c r="T320" s="1043"/>
      <c r="U320" s="117"/>
      <c r="V320" s="2684"/>
      <c r="W320" s="116"/>
      <c r="X320" s="116"/>
    </row>
    <row r="321" spans="1:24" ht="30">
      <c r="A321" s="1064">
        <v>2</v>
      </c>
      <c r="B321" s="72" t="s">
        <v>46</v>
      </c>
      <c r="C321" s="99" t="s">
        <v>11</v>
      </c>
      <c r="D321" s="426">
        <v>2100</v>
      </c>
      <c r="E321" s="1774"/>
      <c r="F321" s="426">
        <v>3104</v>
      </c>
      <c r="G321" s="426">
        <f>G416</f>
        <v>6765.3193600000004</v>
      </c>
      <c r="H321" s="426">
        <f>H416</f>
        <v>5483.97</v>
      </c>
      <c r="I321" s="426">
        <f t="shared" ref="I321" si="96">I416</f>
        <v>9322.7489999999998</v>
      </c>
      <c r="J321" s="426">
        <v>0</v>
      </c>
      <c r="K321" s="426">
        <v>0</v>
      </c>
      <c r="L321" s="2651">
        <v>0</v>
      </c>
      <c r="M321" s="3168"/>
      <c r="N321" s="3168"/>
      <c r="O321" s="3168"/>
      <c r="P321" s="3168"/>
      <c r="Q321" s="2614">
        <f t="shared" ref="Q321" si="97">Q322+Q323+Q324</f>
        <v>0</v>
      </c>
      <c r="R321" s="1029">
        <f t="shared" ref="R321:S321" si="98">R322+R323+R324</f>
        <v>0</v>
      </c>
      <c r="S321" s="1035">
        <f t="shared" si="98"/>
        <v>0</v>
      </c>
      <c r="T321" s="1029" t="s">
        <v>1751</v>
      </c>
      <c r="U321" s="2422"/>
      <c r="V321" s="2686"/>
      <c r="W321" s="116"/>
      <c r="X321" s="116"/>
    </row>
    <row r="322" spans="1:24">
      <c r="A322" s="1065" t="s">
        <v>52</v>
      </c>
      <c r="B322" s="60" t="s">
        <v>258</v>
      </c>
      <c r="C322" s="119" t="s">
        <v>11</v>
      </c>
      <c r="D322" s="448"/>
      <c r="E322" s="448"/>
      <c r="F322" s="448"/>
      <c r="G322" s="448"/>
      <c r="H322" s="448"/>
      <c r="I322" s="448"/>
      <c r="J322" s="448"/>
      <c r="K322" s="448"/>
      <c r="L322" s="2956"/>
      <c r="M322" s="2961"/>
      <c r="N322" s="2961"/>
      <c r="O322" s="2961"/>
      <c r="P322" s="2961"/>
      <c r="Q322" s="2958">
        <v>0</v>
      </c>
      <c r="R322" s="1066">
        <v>0</v>
      </c>
      <c r="S322" s="1061">
        <v>0</v>
      </c>
      <c r="T322" s="1066" t="s">
        <v>1751</v>
      </c>
      <c r="U322" s="2961"/>
      <c r="V322" s="2684"/>
      <c r="W322" s="116"/>
      <c r="X322" s="116"/>
    </row>
    <row r="323" spans="1:24" hidden="1">
      <c r="A323" s="1065" t="s">
        <v>54</v>
      </c>
      <c r="B323" s="60"/>
      <c r="C323" s="119" t="s">
        <v>11</v>
      </c>
      <c r="D323" s="448"/>
      <c r="E323" s="448"/>
      <c r="F323" s="448"/>
      <c r="G323" s="448"/>
      <c r="H323" s="448"/>
      <c r="I323" s="448"/>
      <c r="J323" s="448"/>
      <c r="K323" s="448"/>
      <c r="L323" s="2956"/>
      <c r="M323" s="3180"/>
      <c r="N323" s="3180"/>
      <c r="O323" s="3180"/>
      <c r="P323" s="3180"/>
      <c r="Q323" s="2959"/>
      <c r="R323" s="1066"/>
      <c r="S323" s="1061"/>
      <c r="T323" s="1066"/>
      <c r="U323" s="2961"/>
      <c r="V323" s="2684"/>
      <c r="W323" s="116"/>
      <c r="X323" s="116"/>
    </row>
    <row r="324" spans="1:24" hidden="1">
      <c r="A324" s="1065" t="s">
        <v>56</v>
      </c>
      <c r="B324" s="60"/>
      <c r="C324" s="119" t="s">
        <v>11</v>
      </c>
      <c r="D324" s="448"/>
      <c r="E324" s="448"/>
      <c r="F324" s="448"/>
      <c r="G324" s="448"/>
      <c r="H324" s="448"/>
      <c r="I324" s="448"/>
      <c r="J324" s="448"/>
      <c r="K324" s="448"/>
      <c r="L324" s="2956"/>
      <c r="M324" s="3180"/>
      <c r="N324" s="3180"/>
      <c r="O324" s="3180"/>
      <c r="P324" s="3180"/>
      <c r="Q324" s="2959"/>
      <c r="R324" s="1066"/>
      <c r="S324" s="1061"/>
      <c r="T324" s="1066"/>
      <c r="U324" s="2961"/>
      <c r="V324" s="2684"/>
      <c r="W324" s="116"/>
      <c r="X324" s="116"/>
    </row>
    <row r="325" spans="1:24" ht="75">
      <c r="A325" s="1064">
        <v>3</v>
      </c>
      <c r="B325" s="72" t="s">
        <v>1305</v>
      </c>
      <c r="C325" s="99" t="s">
        <v>11</v>
      </c>
      <c r="D325" s="426">
        <v>1360</v>
      </c>
      <c r="E325" s="426">
        <f>(145.972+1718.28+18.00724722+3878.9)*0.97*0.41</f>
        <v>2291.2130326193937</v>
      </c>
      <c r="F325" s="426">
        <v>1001</v>
      </c>
      <c r="G325" s="426">
        <f>E325</f>
        <v>2291.2130326193937</v>
      </c>
      <c r="H325" s="426">
        <f>510.2*0.96*0.41+11.1*0.96*0.41+952.365*0.96*0.41+84.7*0.96*0.41+20.652*0.96*0.41+63.4*0.96*0.41+68.1*0.96*0.41+36.5*0.96*0.41+98.3*0.96*0.41+11.1*0.96*0.41</f>
        <v>730.68573120000008</v>
      </c>
      <c r="I325" s="426">
        <f>H325*2</f>
        <v>1461.3714624000002</v>
      </c>
      <c r="J325" s="426">
        <f>G325*1.044</f>
        <v>2392.0264060546469</v>
      </c>
      <c r="K325" s="426">
        <f>J325*1.043</f>
        <v>2494.8835415149965</v>
      </c>
      <c r="L325" s="2651">
        <f>K325*1.04</f>
        <v>2594.6788831755966</v>
      </c>
      <c r="M325" s="3168"/>
      <c r="N325" s="3168"/>
      <c r="O325" s="3168"/>
      <c r="P325" s="3168"/>
      <c r="Q325" s="2614">
        <f>I325*1.03</f>
        <v>1505.2126062720001</v>
      </c>
      <c r="R325" s="1029"/>
      <c r="S325" s="1035"/>
      <c r="T325" s="1029"/>
      <c r="U325" s="2422"/>
      <c r="V325" s="2686"/>
      <c r="W325" s="116"/>
      <c r="X325" s="116"/>
    </row>
    <row r="326" spans="1:24" ht="30.75" thickBot="1">
      <c r="A326" s="1064">
        <v>4</v>
      </c>
      <c r="B326" s="72" t="s">
        <v>49</v>
      </c>
      <c r="C326" s="99" t="s">
        <v>11</v>
      </c>
      <c r="D326" s="426"/>
      <c r="E326" s="426">
        <f t="shared" ref="E326:T326" si="99">E327+E330+E333</f>
        <v>0</v>
      </c>
      <c r="F326" s="426"/>
      <c r="G326" s="426"/>
      <c r="H326" s="426"/>
      <c r="I326" s="426"/>
      <c r="J326" s="426"/>
      <c r="K326" s="426"/>
      <c r="L326" s="2651"/>
      <c r="M326" s="3168"/>
      <c r="N326" s="3168"/>
      <c r="O326" s="3168"/>
      <c r="P326" s="3168"/>
      <c r="Q326" s="2614"/>
      <c r="R326" s="1029"/>
      <c r="S326" s="1035">
        <f t="shared" si="99"/>
        <v>0</v>
      </c>
      <c r="T326" s="1029">
        <f t="shared" si="99"/>
        <v>0</v>
      </c>
      <c r="U326" s="2422"/>
      <c r="V326" s="2684"/>
      <c r="W326" s="116"/>
      <c r="X326" s="116"/>
    </row>
    <row r="327" spans="1:24" ht="15.75" hidden="1" thickBot="1">
      <c r="A327" s="1065" t="s">
        <v>172</v>
      </c>
      <c r="B327" s="60"/>
      <c r="C327" s="119" t="s">
        <v>11</v>
      </c>
      <c r="D327" s="108">
        <f>(D329*D328*12)/1000</f>
        <v>0</v>
      </c>
      <c r="E327" s="108">
        <f t="shared" ref="E327:T327" si="100">(E329*E328*12)/1000</f>
        <v>0</v>
      </c>
      <c r="F327" s="108"/>
      <c r="G327" s="108"/>
      <c r="H327" s="108"/>
      <c r="I327" s="108"/>
      <c r="J327" s="108"/>
      <c r="K327" s="108"/>
      <c r="L327" s="2927"/>
      <c r="M327" s="3174"/>
      <c r="N327" s="3174"/>
      <c r="O327" s="3174"/>
      <c r="P327" s="3174"/>
      <c r="Q327" s="2937"/>
      <c r="R327" s="1059"/>
      <c r="S327" s="1051">
        <f t="shared" si="100"/>
        <v>0</v>
      </c>
      <c r="T327" s="1059">
        <f t="shared" si="100"/>
        <v>0</v>
      </c>
      <c r="U327" s="117"/>
      <c r="V327" s="2684"/>
      <c r="W327" s="116"/>
      <c r="X327" s="116"/>
    </row>
    <row r="328" spans="1:24" ht="15.75" hidden="1" thickBot="1">
      <c r="A328" s="1067" t="s">
        <v>265</v>
      </c>
      <c r="B328" s="60" t="s">
        <v>288</v>
      </c>
      <c r="C328" s="119" t="s">
        <v>289</v>
      </c>
      <c r="D328" s="108"/>
      <c r="E328" s="108"/>
      <c r="F328" s="108"/>
      <c r="G328" s="108"/>
      <c r="H328" s="108"/>
      <c r="I328" s="108"/>
      <c r="J328" s="108"/>
      <c r="K328" s="108"/>
      <c r="L328" s="2927"/>
      <c r="M328" s="3174"/>
      <c r="N328" s="3174"/>
      <c r="O328" s="3174"/>
      <c r="P328" s="3174"/>
      <c r="Q328" s="2937"/>
      <c r="R328" s="1059"/>
      <c r="S328" s="1051"/>
      <c r="T328" s="1059"/>
      <c r="U328" s="117"/>
      <c r="V328" s="2684"/>
      <c r="W328" s="116"/>
      <c r="X328" s="116"/>
    </row>
    <row r="329" spans="1:24" ht="15.75" hidden="1" thickBot="1">
      <c r="A329" s="1067" t="s">
        <v>266</v>
      </c>
      <c r="B329" s="60" t="s">
        <v>290</v>
      </c>
      <c r="C329" s="119" t="s">
        <v>291</v>
      </c>
      <c r="D329" s="108"/>
      <c r="E329" s="108"/>
      <c r="F329" s="108"/>
      <c r="G329" s="108"/>
      <c r="H329" s="108"/>
      <c r="I329" s="108"/>
      <c r="J329" s="108"/>
      <c r="K329" s="108"/>
      <c r="L329" s="2927"/>
      <c r="M329" s="3174"/>
      <c r="N329" s="3174"/>
      <c r="O329" s="3174"/>
      <c r="P329" s="3174"/>
      <c r="Q329" s="2937"/>
      <c r="R329" s="1059"/>
      <c r="S329" s="1051"/>
      <c r="T329" s="1059"/>
      <c r="U329" s="117"/>
      <c r="V329" s="2684"/>
      <c r="W329" s="116"/>
      <c r="X329" s="116"/>
    </row>
    <row r="330" spans="1:24" ht="15.75" hidden="1" thickBot="1">
      <c r="A330" s="1055" t="s">
        <v>225</v>
      </c>
      <c r="B330" s="60"/>
      <c r="C330" s="119" t="s">
        <v>11</v>
      </c>
      <c r="D330" s="108">
        <f t="shared" ref="D330:T330" si="101">(D332*D331*12)/1000</f>
        <v>0</v>
      </c>
      <c r="E330" s="108">
        <f t="shared" si="101"/>
        <v>0</v>
      </c>
      <c r="F330" s="108"/>
      <c r="G330" s="108"/>
      <c r="H330" s="108"/>
      <c r="I330" s="108"/>
      <c r="J330" s="108"/>
      <c r="K330" s="108"/>
      <c r="L330" s="2927"/>
      <c r="M330" s="3174"/>
      <c r="N330" s="3174"/>
      <c r="O330" s="3174"/>
      <c r="P330" s="3174"/>
      <c r="Q330" s="2937"/>
      <c r="R330" s="1059"/>
      <c r="S330" s="1051">
        <f t="shared" si="101"/>
        <v>0</v>
      </c>
      <c r="T330" s="1059">
        <f t="shared" si="101"/>
        <v>0</v>
      </c>
      <c r="U330" s="117"/>
      <c r="V330" s="2684"/>
      <c r="W330" s="116"/>
      <c r="X330" s="116"/>
    </row>
    <row r="331" spans="1:24" ht="15.75" hidden="1" thickBot="1">
      <c r="A331" s="1056"/>
      <c r="B331" s="60" t="s">
        <v>288</v>
      </c>
      <c r="C331" s="119" t="s">
        <v>289</v>
      </c>
      <c r="D331" s="121"/>
      <c r="E331" s="121"/>
      <c r="F331" s="121"/>
      <c r="G331" s="121"/>
      <c r="H331" s="121"/>
      <c r="I331" s="121"/>
      <c r="J331" s="121"/>
      <c r="K331" s="121"/>
      <c r="L331" s="2957"/>
      <c r="M331" s="3181"/>
      <c r="N331" s="3181"/>
      <c r="O331" s="3181"/>
      <c r="P331" s="3181"/>
      <c r="Q331" s="2960"/>
      <c r="R331" s="1068"/>
      <c r="S331" s="1062"/>
      <c r="T331" s="1068"/>
      <c r="U331" s="117"/>
      <c r="V331" s="2684"/>
      <c r="W331" s="116"/>
      <c r="X331" s="116"/>
    </row>
    <row r="332" spans="1:24" ht="15.75" hidden="1" thickBot="1">
      <c r="A332" s="1056"/>
      <c r="B332" s="60" t="s">
        <v>290</v>
      </c>
      <c r="C332" s="119" t="s">
        <v>291</v>
      </c>
      <c r="D332" s="121"/>
      <c r="E332" s="121"/>
      <c r="F332" s="121"/>
      <c r="G332" s="121"/>
      <c r="H332" s="121"/>
      <c r="I332" s="121"/>
      <c r="J332" s="121"/>
      <c r="K332" s="121"/>
      <c r="L332" s="2957"/>
      <c r="M332" s="3181"/>
      <c r="N332" s="3181"/>
      <c r="O332" s="3181"/>
      <c r="P332" s="3181"/>
      <c r="Q332" s="2960"/>
      <c r="R332" s="1068"/>
      <c r="S332" s="1062"/>
      <c r="T332" s="1068"/>
      <c r="U332" s="117"/>
      <c r="V332" s="2684"/>
      <c r="W332" s="116"/>
      <c r="X332" s="116"/>
    </row>
    <row r="333" spans="1:24" ht="15.75" hidden="1" thickBot="1">
      <c r="A333" s="1056" t="s">
        <v>226</v>
      </c>
      <c r="B333" s="60"/>
      <c r="C333" s="119" t="s">
        <v>11</v>
      </c>
      <c r="D333" s="108">
        <f t="shared" ref="D333:T333" si="102">(D335*D334*12)/1000</f>
        <v>0</v>
      </c>
      <c r="E333" s="108">
        <f t="shared" si="102"/>
        <v>0</v>
      </c>
      <c r="F333" s="108"/>
      <c r="G333" s="108"/>
      <c r="H333" s="108"/>
      <c r="I333" s="108"/>
      <c r="J333" s="108"/>
      <c r="K333" s="108"/>
      <c r="L333" s="2927"/>
      <c r="M333" s="3174"/>
      <c r="N333" s="3174"/>
      <c r="O333" s="3174"/>
      <c r="P333" s="3174"/>
      <c r="Q333" s="2937"/>
      <c r="R333" s="1059"/>
      <c r="S333" s="1051">
        <f t="shared" si="102"/>
        <v>0</v>
      </c>
      <c r="T333" s="1059">
        <f t="shared" si="102"/>
        <v>0</v>
      </c>
      <c r="U333" s="117"/>
      <c r="V333" s="2684"/>
      <c r="W333" s="116"/>
      <c r="X333" s="116"/>
    </row>
    <row r="334" spans="1:24" ht="15.75" hidden="1" thickBot="1">
      <c r="A334" s="1055"/>
      <c r="B334" s="60" t="s">
        <v>288</v>
      </c>
      <c r="C334" s="119" t="s">
        <v>289</v>
      </c>
      <c r="D334" s="121"/>
      <c r="E334" s="121"/>
      <c r="F334" s="121"/>
      <c r="G334" s="121"/>
      <c r="H334" s="121"/>
      <c r="I334" s="121"/>
      <c r="J334" s="121"/>
      <c r="K334" s="121"/>
      <c r="L334" s="2957"/>
      <c r="M334" s="3181"/>
      <c r="N334" s="3181"/>
      <c r="O334" s="3181"/>
      <c r="P334" s="3181"/>
      <c r="Q334" s="2960"/>
      <c r="R334" s="1068"/>
      <c r="S334" s="1062"/>
      <c r="T334" s="1068"/>
      <c r="U334" s="117"/>
      <c r="V334" s="2684"/>
      <c r="W334" s="116"/>
      <c r="X334" s="116"/>
    </row>
    <row r="335" spans="1:24" ht="15.75" hidden="1" thickBot="1">
      <c r="A335" s="1036"/>
      <c r="B335" s="60" t="s">
        <v>290</v>
      </c>
      <c r="C335" s="119" t="s">
        <v>291</v>
      </c>
      <c r="D335" s="121"/>
      <c r="E335" s="121"/>
      <c r="F335" s="121"/>
      <c r="G335" s="121"/>
      <c r="H335" s="121"/>
      <c r="I335" s="121"/>
      <c r="J335" s="121"/>
      <c r="K335" s="121"/>
      <c r="L335" s="2957"/>
      <c r="M335" s="3181"/>
      <c r="N335" s="3181"/>
      <c r="O335" s="3181"/>
      <c r="P335" s="3181"/>
      <c r="Q335" s="2960"/>
      <c r="R335" s="1068"/>
      <c r="S335" s="1062"/>
      <c r="T335" s="1068"/>
      <c r="U335" s="117"/>
      <c r="V335" s="2684"/>
      <c r="W335" s="116"/>
      <c r="X335" s="116"/>
    </row>
    <row r="336" spans="1:24" ht="15.75" thickBot="1">
      <c r="A336" s="78"/>
      <c r="B336" s="77" t="s">
        <v>157</v>
      </c>
      <c r="C336" s="95" t="s">
        <v>11</v>
      </c>
      <c r="D336" s="430">
        <f>D320+D321+D325+D326</f>
        <v>4992</v>
      </c>
      <c r="E336" s="430">
        <f t="shared" ref="E336:T336" si="103">E320+E321+E325+E326</f>
        <v>2291.2130326193937</v>
      </c>
      <c r="F336" s="430">
        <f t="shared" si="103"/>
        <v>4105</v>
      </c>
      <c r="G336" s="430">
        <f t="shared" si="103"/>
        <v>9056.5323926193942</v>
      </c>
      <c r="H336" s="430">
        <f t="shared" si="103"/>
        <v>6214.6557312000004</v>
      </c>
      <c r="I336" s="430">
        <f t="shared" si="103"/>
        <v>10784.1204624</v>
      </c>
      <c r="J336" s="430">
        <f t="shared" si="103"/>
        <v>2392.0264060546469</v>
      </c>
      <c r="K336" s="430">
        <f t="shared" si="103"/>
        <v>2494.8835415149965</v>
      </c>
      <c r="L336" s="2645">
        <f t="shared" si="103"/>
        <v>2594.6788831755966</v>
      </c>
      <c r="M336" s="3170"/>
      <c r="N336" s="3170"/>
      <c r="O336" s="3170"/>
      <c r="P336" s="3170"/>
      <c r="Q336" s="509">
        <f t="shared" si="103"/>
        <v>3158.7798702720002</v>
      </c>
      <c r="R336" s="1033">
        <f t="shared" si="103"/>
        <v>0</v>
      </c>
      <c r="S336" s="1044">
        <f t="shared" si="103"/>
        <v>0</v>
      </c>
      <c r="T336" s="1033" t="e">
        <f t="shared" si="103"/>
        <v>#VALUE!</v>
      </c>
      <c r="U336" s="2422"/>
      <c r="V336" s="2686"/>
      <c r="W336" s="116"/>
      <c r="X336" s="116"/>
    </row>
    <row r="337" spans="1:24">
      <c r="A337" s="116"/>
      <c r="B337" s="117"/>
      <c r="C337" s="118"/>
      <c r="D337" s="117"/>
      <c r="E337" s="117"/>
      <c r="F337" s="117"/>
      <c r="G337" s="117"/>
      <c r="H337" s="117"/>
      <c r="I337" s="117"/>
      <c r="J337" s="117"/>
      <c r="K337" s="117"/>
      <c r="L337" s="117"/>
      <c r="M337" s="117"/>
      <c r="N337" s="117"/>
      <c r="O337" s="117"/>
      <c r="P337" s="117"/>
      <c r="Q337" s="117"/>
      <c r="R337" s="117"/>
      <c r="S337" s="117"/>
    </row>
    <row r="338" spans="1:24" ht="19.5" thickBot="1">
      <c r="A338" s="367" t="s">
        <v>1789</v>
      </c>
      <c r="B338" s="117"/>
      <c r="C338" s="118"/>
      <c r="D338" s="117"/>
      <c r="E338" s="117"/>
      <c r="F338" s="117"/>
      <c r="G338" s="117"/>
      <c r="H338" s="117"/>
      <c r="I338" s="117"/>
      <c r="J338" s="117"/>
      <c r="K338" s="117"/>
      <c r="L338" s="117"/>
      <c r="M338" s="117"/>
      <c r="N338" s="117"/>
      <c r="O338" s="117"/>
      <c r="P338" s="117"/>
      <c r="Q338" s="117"/>
      <c r="R338" s="117"/>
      <c r="S338" s="117"/>
    </row>
    <row r="339" spans="1:24" ht="15.75" thickBot="1">
      <c r="A339" s="3389" t="s">
        <v>0</v>
      </c>
      <c r="B339" s="3389" t="s">
        <v>1</v>
      </c>
      <c r="C339" s="3389" t="s">
        <v>2</v>
      </c>
      <c r="D339" s="3432" t="s">
        <v>165</v>
      </c>
      <c r="E339" s="3433"/>
      <c r="F339" s="3433"/>
      <c r="G339" s="3433"/>
      <c r="H339" s="3433"/>
      <c r="I339" s="3433"/>
      <c r="J339" s="3433"/>
      <c r="K339" s="3433"/>
      <c r="L339" s="3433"/>
      <c r="M339" s="3081"/>
      <c r="N339" s="3081"/>
      <c r="O339" s="3081"/>
      <c r="P339" s="3081"/>
      <c r="Q339" s="3432" t="s">
        <v>1460</v>
      </c>
      <c r="R339" s="3433"/>
      <c r="S339" s="3433"/>
      <c r="T339" s="3434"/>
      <c r="U339" s="2683"/>
      <c r="V339" s="3449"/>
      <c r="W339" s="3449"/>
      <c r="X339" s="116"/>
    </row>
    <row r="340" spans="1:24" ht="15.75" customHeight="1" thickBot="1">
      <c r="A340" s="3401"/>
      <c r="B340" s="3401"/>
      <c r="C340" s="3401"/>
      <c r="D340" s="3418" t="s">
        <v>1196</v>
      </c>
      <c r="E340" s="3419"/>
      <c r="F340" s="3418">
        <v>2015</v>
      </c>
      <c r="G340" s="3419"/>
      <c r="H340" s="3389" t="s">
        <v>1375</v>
      </c>
      <c r="I340" s="3389" t="s">
        <v>1376</v>
      </c>
      <c r="J340" s="3389" t="s">
        <v>394</v>
      </c>
      <c r="K340" s="3389" t="s">
        <v>395</v>
      </c>
      <c r="L340" s="3387" t="s">
        <v>1155</v>
      </c>
      <c r="M340" s="3075"/>
      <c r="N340" s="3075"/>
      <c r="O340" s="3075"/>
      <c r="P340" s="3075"/>
      <c r="Q340" s="3389" t="s">
        <v>394</v>
      </c>
      <c r="R340" s="3389" t="s">
        <v>395</v>
      </c>
      <c r="S340" s="3495" t="s">
        <v>1155</v>
      </c>
      <c r="T340" s="3389" t="s">
        <v>1061</v>
      </c>
      <c r="U340" s="3631"/>
      <c r="V340" s="3631"/>
      <c r="W340" s="3631"/>
      <c r="X340" s="116"/>
    </row>
    <row r="341" spans="1:24" ht="39.75" customHeight="1" thickBot="1">
      <c r="A341" s="3390"/>
      <c r="B341" s="3390"/>
      <c r="C341" s="3390"/>
      <c r="D341" s="1535" t="s">
        <v>5</v>
      </c>
      <c r="E341" s="4" t="s">
        <v>6</v>
      </c>
      <c r="F341" s="4" t="s">
        <v>7</v>
      </c>
      <c r="G341" s="4" t="s">
        <v>8</v>
      </c>
      <c r="H341" s="3390"/>
      <c r="I341" s="3390"/>
      <c r="J341" s="3390"/>
      <c r="K341" s="3390"/>
      <c r="L341" s="3388"/>
      <c r="M341" s="3076"/>
      <c r="N341" s="3076"/>
      <c r="O341" s="3076"/>
      <c r="P341" s="3076"/>
      <c r="Q341" s="3390"/>
      <c r="R341" s="3390"/>
      <c r="S341" s="3496"/>
      <c r="T341" s="3390"/>
      <c r="U341" s="3631"/>
      <c r="V341" s="3631"/>
      <c r="W341" s="3631"/>
      <c r="X341" s="116"/>
    </row>
    <row r="342" spans="1:24" hidden="1">
      <c r="A342" s="534">
        <v>1</v>
      </c>
      <c r="B342" s="3">
        <v>2</v>
      </c>
      <c r="C342" s="3">
        <v>3</v>
      </c>
      <c r="D342" s="3">
        <v>4</v>
      </c>
      <c r="E342" s="3">
        <v>5</v>
      </c>
      <c r="F342" s="3">
        <v>6</v>
      </c>
      <c r="G342" s="3">
        <v>7</v>
      </c>
      <c r="H342" s="3"/>
      <c r="I342" s="3"/>
      <c r="J342" s="3"/>
      <c r="K342" s="3"/>
      <c r="L342" s="2934">
        <v>8</v>
      </c>
      <c r="M342" s="3172"/>
      <c r="N342" s="3172"/>
      <c r="O342" s="3172"/>
      <c r="P342" s="3172"/>
      <c r="Q342" s="534">
        <v>9</v>
      </c>
      <c r="R342" s="1052">
        <v>10</v>
      </c>
      <c r="S342" s="993">
        <v>11</v>
      </c>
      <c r="T342" s="2632">
        <v>12</v>
      </c>
      <c r="U342" s="116"/>
      <c r="V342" s="2684"/>
      <c r="W342" s="116"/>
      <c r="X342" s="116"/>
    </row>
    <row r="343" spans="1:24" ht="51">
      <c r="A343" s="536">
        <v>1</v>
      </c>
      <c r="B343" s="125" t="s">
        <v>523</v>
      </c>
      <c r="C343" s="85" t="s">
        <v>11</v>
      </c>
      <c r="D343" s="449">
        <f>D344+D345</f>
        <v>8359.7999999999993</v>
      </c>
      <c r="E343" s="449">
        <f>6490.6</f>
        <v>6490.6</v>
      </c>
      <c r="F343" s="449">
        <f t="shared" ref="F343:T343" si="104">F344+F345+F346+F347+F348+F349+F350</f>
        <v>8632.2999999999993</v>
      </c>
      <c r="G343" s="449">
        <f t="shared" si="104"/>
        <v>8947.9</v>
      </c>
      <c r="H343" s="449">
        <f>'затраты на ремонт  _6 мес.2015'!B21</f>
        <v>3863.4332639999993</v>
      </c>
      <c r="I343" s="449">
        <v>8497</v>
      </c>
      <c r="J343" s="449">
        <v>10862.6</v>
      </c>
      <c r="K343" s="449">
        <v>11329.69</v>
      </c>
      <c r="L343" s="2668">
        <v>11816.86</v>
      </c>
      <c r="M343" s="3182"/>
      <c r="N343" s="3182"/>
      <c r="O343" s="3182"/>
      <c r="P343" s="3182"/>
      <c r="Q343" s="2676">
        <f>F343*1.026</f>
        <v>8856.7397999999994</v>
      </c>
      <c r="R343" s="1074">
        <f t="shared" si="104"/>
        <v>0</v>
      </c>
      <c r="S343" s="1069">
        <f t="shared" si="104"/>
        <v>0</v>
      </c>
      <c r="T343" s="1074">
        <f t="shared" si="104"/>
        <v>0</v>
      </c>
      <c r="U343" s="2974"/>
      <c r="V343" s="2974"/>
      <c r="W343" s="116"/>
      <c r="X343" s="116"/>
    </row>
    <row r="344" spans="1:24" ht="30">
      <c r="A344" s="521" t="s">
        <v>10</v>
      </c>
      <c r="B344" s="61" t="s">
        <v>620</v>
      </c>
      <c r="C344" s="2" t="s">
        <v>11</v>
      </c>
      <c r="D344" s="447">
        <v>8359.7999999999993</v>
      </c>
      <c r="E344" s="447"/>
      <c r="F344" s="447">
        <v>8491.4</v>
      </c>
      <c r="G344" s="1317">
        <v>8282.2999999999993</v>
      </c>
      <c r="H344" s="1317"/>
      <c r="I344" s="1317"/>
      <c r="J344" s="1317"/>
      <c r="K344" s="1317"/>
      <c r="L344" s="2962"/>
      <c r="M344" s="857"/>
      <c r="N344" s="857"/>
      <c r="O344" s="857"/>
      <c r="P344" s="857"/>
      <c r="Q344" s="2965"/>
      <c r="R344" s="1075"/>
      <c r="S344" s="1070"/>
      <c r="T344" s="2966"/>
      <c r="U344" s="2975"/>
      <c r="V344" s="2684"/>
      <c r="W344" s="116"/>
      <c r="X344" s="116"/>
    </row>
    <row r="345" spans="1:24" ht="31.5" customHeight="1">
      <c r="A345" s="521" t="s">
        <v>18</v>
      </c>
      <c r="B345" s="61" t="s">
        <v>621</v>
      </c>
      <c r="C345" s="2" t="s">
        <v>11</v>
      </c>
      <c r="D345" s="447"/>
      <c r="E345" s="447"/>
      <c r="F345" s="447">
        <v>140.9</v>
      </c>
      <c r="G345" s="1317">
        <v>665.6</v>
      </c>
      <c r="H345" s="1317"/>
      <c r="I345" s="1317"/>
      <c r="J345" s="1317"/>
      <c r="K345" s="1317"/>
      <c r="L345" s="2962"/>
      <c r="M345" s="857"/>
      <c r="N345" s="857"/>
      <c r="O345" s="857"/>
      <c r="P345" s="857"/>
      <c r="Q345" s="2965"/>
      <c r="R345" s="1075"/>
      <c r="S345" s="1070"/>
      <c r="T345" s="2966"/>
      <c r="U345" s="2975"/>
      <c r="V345" s="2684"/>
      <c r="W345" s="116"/>
      <c r="X345" s="116"/>
    </row>
    <row r="346" spans="1:24" ht="30" hidden="1">
      <c r="A346" s="521" t="s">
        <v>30</v>
      </c>
      <c r="B346" s="61" t="s">
        <v>622</v>
      </c>
      <c r="C346" s="2" t="s">
        <v>11</v>
      </c>
      <c r="D346" s="447"/>
      <c r="E346" s="447"/>
      <c r="F346" s="447"/>
      <c r="G346" s="1317"/>
      <c r="H346" s="1317"/>
      <c r="I346" s="1317"/>
      <c r="J346" s="1317"/>
      <c r="K346" s="1317"/>
      <c r="L346" s="2962"/>
      <c r="M346" s="857"/>
      <c r="N346" s="857"/>
      <c r="O346" s="857"/>
      <c r="P346" s="857"/>
      <c r="Q346" s="2965"/>
      <c r="R346" s="1075"/>
      <c r="S346" s="1070"/>
      <c r="T346" s="2966"/>
      <c r="U346" s="2975"/>
      <c r="V346" s="2684"/>
      <c r="W346" s="116"/>
      <c r="X346" s="116"/>
    </row>
    <row r="347" spans="1:24" hidden="1">
      <c r="A347" s="521" t="s">
        <v>255</v>
      </c>
      <c r="B347" s="2"/>
      <c r="C347" s="2" t="s">
        <v>11</v>
      </c>
      <c r="D347" s="447"/>
      <c r="E347" s="447"/>
      <c r="F347" s="447"/>
      <c r="G347" s="457"/>
      <c r="H347" s="457"/>
      <c r="I347" s="457"/>
      <c r="J347" s="457"/>
      <c r="K347" s="457"/>
      <c r="L347" s="2962"/>
      <c r="M347" s="857"/>
      <c r="N347" s="857"/>
      <c r="O347" s="857"/>
      <c r="P347" s="857"/>
      <c r="Q347" s="2965"/>
      <c r="R347" s="1075"/>
      <c r="S347" s="1070"/>
      <c r="T347" s="2966"/>
      <c r="U347" s="2975"/>
      <c r="V347" s="2684"/>
      <c r="W347" s="116"/>
      <c r="X347" s="116"/>
    </row>
    <row r="348" spans="1:24" hidden="1">
      <c r="A348" s="521" t="s">
        <v>40</v>
      </c>
      <c r="B348" s="2"/>
      <c r="C348" s="2" t="s">
        <v>11</v>
      </c>
      <c r="D348" s="447"/>
      <c r="E348" s="447"/>
      <c r="F348" s="447"/>
      <c r="G348" s="457"/>
      <c r="H348" s="457"/>
      <c r="I348" s="457"/>
      <c r="J348" s="457"/>
      <c r="K348" s="457"/>
      <c r="L348" s="2962"/>
      <c r="M348" s="857"/>
      <c r="N348" s="857"/>
      <c r="O348" s="857"/>
      <c r="P348" s="857"/>
      <c r="Q348" s="2965"/>
      <c r="R348" s="1075"/>
      <c r="S348" s="1070"/>
      <c r="T348" s="2966"/>
      <c r="U348" s="2975"/>
      <c r="V348" s="2684"/>
      <c r="W348" s="116"/>
      <c r="X348" s="116"/>
    </row>
    <row r="349" spans="1:24" hidden="1">
      <c r="A349" s="521" t="s">
        <v>41</v>
      </c>
      <c r="B349" s="2"/>
      <c r="C349" s="2" t="s">
        <v>11</v>
      </c>
      <c r="D349" s="447"/>
      <c r="E349" s="447"/>
      <c r="F349" s="447"/>
      <c r="G349" s="457"/>
      <c r="H349" s="457"/>
      <c r="I349" s="457"/>
      <c r="J349" s="457"/>
      <c r="K349" s="457"/>
      <c r="L349" s="2962"/>
      <c r="M349" s="857"/>
      <c r="N349" s="857"/>
      <c r="O349" s="857"/>
      <c r="P349" s="857"/>
      <c r="Q349" s="2965"/>
      <c r="R349" s="1075"/>
      <c r="S349" s="1070"/>
      <c r="T349" s="2966"/>
      <c r="U349" s="2975"/>
      <c r="V349" s="2684"/>
      <c r="W349" s="116"/>
      <c r="X349" s="116"/>
    </row>
    <row r="350" spans="1:24" hidden="1">
      <c r="A350" s="521" t="s">
        <v>42</v>
      </c>
      <c r="B350" s="2"/>
      <c r="C350" s="2" t="s">
        <v>11</v>
      </c>
      <c r="D350" s="447"/>
      <c r="E350" s="447"/>
      <c r="F350" s="447"/>
      <c r="G350" s="457"/>
      <c r="H350" s="457"/>
      <c r="I350" s="457"/>
      <c r="J350" s="457"/>
      <c r="K350" s="457"/>
      <c r="L350" s="2962"/>
      <c r="M350" s="857"/>
      <c r="N350" s="857"/>
      <c r="O350" s="857"/>
      <c r="P350" s="857"/>
      <c r="Q350" s="2965"/>
      <c r="R350" s="1075"/>
      <c r="S350" s="1070"/>
      <c r="T350" s="2966"/>
      <c r="U350" s="2975"/>
      <c r="V350" s="2684"/>
      <c r="W350" s="116"/>
      <c r="X350" s="116"/>
    </row>
    <row r="351" spans="1:24" ht="63.75">
      <c r="A351" s="536" t="s">
        <v>50</v>
      </c>
      <c r="B351" s="126" t="s">
        <v>1280</v>
      </c>
      <c r="C351" s="85" t="s">
        <v>11</v>
      </c>
      <c r="D351" s="449">
        <f>D352</f>
        <v>49684.4</v>
      </c>
      <c r="E351" s="449">
        <f>9307.71-10104.1*0.14</f>
        <v>7893.1359999999986</v>
      </c>
      <c r="F351" s="449">
        <f t="shared" ref="F351" si="105">F352+F353+F354</f>
        <v>10011.700000000001</v>
      </c>
      <c r="G351" s="449">
        <f>G352</f>
        <v>13841.9</v>
      </c>
      <c r="H351" s="449">
        <f>'затраты на ремонт  _6 мес.2015'!B11</f>
        <v>10933.263360000001</v>
      </c>
      <c r="I351" s="449">
        <v>13841.9</v>
      </c>
      <c r="J351" s="449">
        <f t="shared" ref="J351:K351" si="106">J352</f>
        <v>24359.378000000001</v>
      </c>
      <c r="K351" s="449">
        <f t="shared" si="106"/>
        <v>10312.923000000001</v>
      </c>
      <c r="L351" s="2668">
        <f>L352</f>
        <v>16273.194</v>
      </c>
      <c r="M351" s="3182"/>
      <c r="N351" s="3182"/>
      <c r="O351" s="3182"/>
      <c r="P351" s="3182"/>
      <c r="Q351" s="2668">
        <v>0</v>
      </c>
      <c r="R351" s="449"/>
      <c r="S351" s="449">
        <f t="shared" ref="S351" si="107">S352+S353+S354+S355+S356+S357</f>
        <v>0</v>
      </c>
      <c r="T351" s="1074" t="s">
        <v>1765</v>
      </c>
      <c r="U351" s="2974"/>
      <c r="V351" s="2974"/>
      <c r="W351" s="116"/>
      <c r="X351" s="116"/>
    </row>
    <row r="352" spans="1:24" ht="30">
      <c r="A352" s="521" t="s">
        <v>52</v>
      </c>
      <c r="B352" s="61" t="s">
        <v>620</v>
      </c>
      <c r="C352" s="2" t="s">
        <v>11</v>
      </c>
      <c r="D352" s="447">
        <v>49684.4</v>
      </c>
      <c r="E352" s="447">
        <f>E351</f>
        <v>7893.1359999999986</v>
      </c>
      <c r="F352" s="447">
        <v>10011.700000000001</v>
      </c>
      <c r="G352" s="1317">
        <v>13841.9</v>
      </c>
      <c r="H352" s="1317"/>
      <c r="I352" s="1317"/>
      <c r="J352" s="1317">
        <v>24359.378000000001</v>
      </c>
      <c r="K352" s="1317">
        <v>10312.923000000001</v>
      </c>
      <c r="L352" s="2962">
        <v>16273.194</v>
      </c>
      <c r="M352" s="857"/>
      <c r="N352" s="857"/>
      <c r="O352" s="857"/>
      <c r="P352" s="857"/>
      <c r="Q352" s="2965"/>
      <c r="R352" s="447"/>
      <c r="S352" s="1070"/>
      <c r="T352" s="2966"/>
      <c r="U352" s="2975"/>
      <c r="V352" s="2684"/>
      <c r="W352" s="116"/>
      <c r="X352" s="116"/>
    </row>
    <row r="353" spans="1:24" ht="30">
      <c r="A353" s="1078" t="s">
        <v>54</v>
      </c>
      <c r="B353" s="61" t="s">
        <v>621</v>
      </c>
      <c r="C353" s="2" t="s">
        <v>11</v>
      </c>
      <c r="D353" s="451">
        <v>0</v>
      </c>
      <c r="E353" s="451"/>
      <c r="F353" s="451">
        <v>0</v>
      </c>
      <c r="G353" s="835"/>
      <c r="H353" s="835"/>
      <c r="I353" s="835"/>
      <c r="J353" s="835"/>
      <c r="K353" s="835"/>
      <c r="L353" s="2963">
        <v>0</v>
      </c>
      <c r="M353" s="3183"/>
      <c r="N353" s="3183"/>
      <c r="O353" s="3183"/>
      <c r="P353" s="3183"/>
      <c r="Q353" s="2967">
        <v>0</v>
      </c>
      <c r="R353" s="1077">
        <v>0</v>
      </c>
      <c r="S353" s="1071"/>
      <c r="T353" s="1077"/>
      <c r="U353" s="2976"/>
      <c r="V353" s="2684"/>
      <c r="W353" s="116"/>
      <c r="X353" s="116"/>
    </row>
    <row r="354" spans="1:24" ht="30" hidden="1">
      <c r="A354" s="1078" t="s">
        <v>56</v>
      </c>
      <c r="B354" s="61" t="s">
        <v>622</v>
      </c>
      <c r="C354" s="2" t="s">
        <v>11</v>
      </c>
      <c r="D354" s="455"/>
      <c r="E354" s="455"/>
      <c r="F354" s="455"/>
      <c r="G354" s="1318"/>
      <c r="H354" s="1318"/>
      <c r="I354" s="1318"/>
      <c r="J354" s="1318"/>
      <c r="K354" s="1318"/>
      <c r="L354" s="2964"/>
      <c r="M354" s="3184"/>
      <c r="N354" s="3184"/>
      <c r="O354" s="3184"/>
      <c r="P354" s="3184"/>
      <c r="Q354" s="2968"/>
      <c r="R354" s="1116"/>
      <c r="S354" s="1114"/>
      <c r="T354" s="1116"/>
      <c r="U354" s="2974"/>
      <c r="V354" s="2684"/>
      <c r="W354" s="116"/>
      <c r="X354" s="116"/>
    </row>
    <row r="355" spans="1:24" hidden="1">
      <c r="A355" s="521" t="s">
        <v>261</v>
      </c>
      <c r="B355" s="63"/>
      <c r="C355" s="2" t="s">
        <v>11</v>
      </c>
      <c r="D355" s="455"/>
      <c r="E355" s="455"/>
      <c r="F355" s="455"/>
      <c r="G355" s="456"/>
      <c r="H355" s="456"/>
      <c r="I355" s="456"/>
      <c r="J355" s="456"/>
      <c r="K355" s="456"/>
      <c r="L355" s="2964"/>
      <c r="M355" s="3184"/>
      <c r="N355" s="3184"/>
      <c r="O355" s="3184"/>
      <c r="P355" s="3184"/>
      <c r="Q355" s="2968"/>
      <c r="R355" s="1116"/>
      <c r="S355" s="1114"/>
      <c r="T355" s="1116"/>
      <c r="U355" s="2974"/>
      <c r="V355" s="2684"/>
      <c r="W355" s="116"/>
      <c r="X355" s="116"/>
    </row>
    <row r="356" spans="1:24" hidden="1">
      <c r="A356" s="1078" t="s">
        <v>262</v>
      </c>
      <c r="B356" s="63"/>
      <c r="C356" s="2" t="s">
        <v>11</v>
      </c>
      <c r="D356" s="455"/>
      <c r="E356" s="455"/>
      <c r="F356" s="455"/>
      <c r="G356" s="456"/>
      <c r="H356" s="456"/>
      <c r="I356" s="456"/>
      <c r="J356" s="456"/>
      <c r="K356" s="456"/>
      <c r="L356" s="2964"/>
      <c r="M356" s="3184"/>
      <c r="N356" s="3184"/>
      <c r="O356" s="3184"/>
      <c r="P356" s="3184"/>
      <c r="Q356" s="2968"/>
      <c r="R356" s="1116"/>
      <c r="S356" s="1115"/>
      <c r="T356" s="2969"/>
      <c r="U356" s="2840"/>
      <c r="V356" s="2684"/>
      <c r="W356" s="116"/>
      <c r="X356" s="116"/>
    </row>
    <row r="357" spans="1:24" hidden="1">
      <c r="A357" s="1078" t="s">
        <v>292</v>
      </c>
      <c r="B357" s="63"/>
      <c r="C357" s="2" t="s">
        <v>11</v>
      </c>
      <c r="D357" s="455"/>
      <c r="E357" s="455"/>
      <c r="F357" s="455"/>
      <c r="G357" s="456"/>
      <c r="H357" s="456"/>
      <c r="I357" s="456"/>
      <c r="J357" s="456"/>
      <c r="K357" s="456"/>
      <c r="L357" s="2964"/>
      <c r="M357" s="3184"/>
      <c r="N357" s="3184"/>
      <c r="O357" s="3184"/>
      <c r="P357" s="3184"/>
      <c r="Q357" s="2968"/>
      <c r="R357" s="1116"/>
      <c r="S357" s="1115"/>
      <c r="T357" s="2969"/>
      <c r="U357" s="2840"/>
      <c r="V357" s="2684"/>
      <c r="W357" s="116"/>
      <c r="X357" s="116"/>
    </row>
    <row r="358" spans="1:24" ht="51">
      <c r="A358" s="536" t="s">
        <v>62</v>
      </c>
      <c r="B358" s="126" t="s">
        <v>57</v>
      </c>
      <c r="C358" s="85" t="s">
        <v>11</v>
      </c>
      <c r="D358" s="449">
        <f>D359+D360</f>
        <v>2615.0019000000002</v>
      </c>
      <c r="E358" s="449"/>
      <c r="F358" s="449">
        <f t="shared" ref="F358:T358" si="108">F359+F360</f>
        <v>5262.5541124800002</v>
      </c>
      <c r="G358" s="449">
        <f t="shared" si="108"/>
        <v>5151.8671344000004</v>
      </c>
      <c r="H358" s="449">
        <f t="shared" si="108"/>
        <v>2618.9990399999997</v>
      </c>
      <c r="I358" s="449">
        <f t="shared" si="108"/>
        <v>5179.8507600000003</v>
      </c>
      <c r="J358" s="449">
        <f t="shared" si="108"/>
        <v>5386.8114720000003</v>
      </c>
      <c r="K358" s="449">
        <f t="shared" si="108"/>
        <v>5618.4443652959999</v>
      </c>
      <c r="L358" s="2668">
        <f t="shared" si="108"/>
        <v>5860.0374730037274</v>
      </c>
      <c r="M358" s="3182"/>
      <c r="N358" s="3182"/>
      <c r="O358" s="3182"/>
      <c r="P358" s="3182"/>
      <c r="Q358" s="2676">
        <f t="shared" si="108"/>
        <v>5400.2830131133733</v>
      </c>
      <c r="R358" s="1074">
        <f t="shared" si="108"/>
        <v>0</v>
      </c>
      <c r="S358" s="1092">
        <f t="shared" si="108"/>
        <v>0</v>
      </c>
      <c r="T358" s="2970">
        <f t="shared" si="108"/>
        <v>0</v>
      </c>
      <c r="U358" s="2840"/>
      <c r="V358" s="2974"/>
      <c r="W358" s="116"/>
      <c r="X358" s="116"/>
    </row>
    <row r="359" spans="1:24" ht="25.5">
      <c r="A359" s="1078" t="s">
        <v>64</v>
      </c>
      <c r="B359" s="10" t="s">
        <v>59</v>
      </c>
      <c r="C359" s="11" t="s">
        <v>11</v>
      </c>
      <c r="D359" s="418">
        <f>'Зар.плата осн.персонала'!D265</f>
        <v>2008.45</v>
      </c>
      <c r="E359" s="418">
        <f>'Зар.плата осн.персонала'!E265</f>
        <v>3658.4855999999995</v>
      </c>
      <c r="F359" s="418">
        <f>'Зар.плата осн.персонала'!F265</f>
        <v>4041.9002400000004</v>
      </c>
      <c r="G359" s="418">
        <f>'Зар.плата осн.персонала'!G265</f>
        <v>3956.8872000000001</v>
      </c>
      <c r="H359" s="418">
        <f>'Зар.плата осн.персонала'!H265</f>
        <v>2011.52</v>
      </c>
      <c r="I359" s="418">
        <f>'Зар.плата осн.персонала'!I265</f>
        <v>3978.38</v>
      </c>
      <c r="J359" s="418">
        <f>'Зар.плата осн.персонала'!J265</f>
        <v>4137.3360000000002</v>
      </c>
      <c r="K359" s="418">
        <f>'Зар.плата осн.персонала'!K265</f>
        <v>4315.2414479999998</v>
      </c>
      <c r="L359" s="2929">
        <f>'Зар.плата осн.персонала'!L265</f>
        <v>4500.7968302639993</v>
      </c>
      <c r="M359" s="3176"/>
      <c r="N359" s="3176"/>
      <c r="O359" s="3176"/>
      <c r="P359" s="3176"/>
      <c r="Q359" s="1709">
        <f>'Зар.плата осн.персонала'!M265</f>
        <v>4147.6828057706398</v>
      </c>
      <c r="R359" s="418">
        <v>0</v>
      </c>
      <c r="S359" s="418">
        <v>0</v>
      </c>
      <c r="T359" s="1079">
        <v>0</v>
      </c>
      <c r="U359" s="2422"/>
      <c r="V359" s="2684"/>
      <c r="W359" s="116"/>
      <c r="X359" s="116"/>
    </row>
    <row r="360" spans="1:24" ht="38.25">
      <c r="A360" s="1078" t="s">
        <v>80</v>
      </c>
      <c r="B360" s="16" t="s">
        <v>61</v>
      </c>
      <c r="C360" s="17" t="s">
        <v>11</v>
      </c>
      <c r="D360" s="418">
        <f>D359*D361/100</f>
        <v>606.55190000000005</v>
      </c>
      <c r="E360" s="418">
        <f t="shared" ref="E360:L360" si="109">E359*E361/100</f>
        <v>1104.8626511999998</v>
      </c>
      <c r="F360" s="418">
        <f t="shared" si="109"/>
        <v>1220.6538724800002</v>
      </c>
      <c r="G360" s="418">
        <f t="shared" si="109"/>
        <v>1194.9799344</v>
      </c>
      <c r="H360" s="418">
        <f>H359*H361/100</f>
        <v>607.47903999999994</v>
      </c>
      <c r="I360" s="418">
        <f>I359*I361/100</f>
        <v>1201.4707599999999</v>
      </c>
      <c r="J360" s="418">
        <f t="shared" si="109"/>
        <v>1249.4754720000001</v>
      </c>
      <c r="K360" s="418">
        <f t="shared" si="109"/>
        <v>1303.2029172959999</v>
      </c>
      <c r="L360" s="2929">
        <f t="shared" si="109"/>
        <v>1359.2406427397277</v>
      </c>
      <c r="M360" s="3176"/>
      <c r="N360" s="3176"/>
      <c r="O360" s="3176"/>
      <c r="P360" s="3176"/>
      <c r="Q360" s="1709">
        <f>'Зар.плата осн.персонала'!M267</f>
        <v>1252.6002073427333</v>
      </c>
      <c r="R360" s="1079"/>
      <c r="S360" s="1051"/>
      <c r="T360" s="1059">
        <f>'Зар.плата осн.персонала'!N267</f>
        <v>0</v>
      </c>
      <c r="U360" s="117"/>
      <c r="V360" s="2684"/>
      <c r="W360" s="116"/>
      <c r="X360" s="116"/>
    </row>
    <row r="361" spans="1:24" ht="15.75" thickBot="1">
      <c r="A361" s="999"/>
      <c r="B361" s="166" t="s">
        <v>376</v>
      </c>
      <c r="C361" s="119" t="s">
        <v>280</v>
      </c>
      <c r="D361" s="418">
        <v>30.2</v>
      </c>
      <c r="E361" s="418">
        <v>30.2</v>
      </c>
      <c r="F361" s="418">
        <v>30.2</v>
      </c>
      <c r="G361" s="418">
        <v>30.2</v>
      </c>
      <c r="H361" s="418">
        <v>30.2</v>
      </c>
      <c r="I361" s="418">
        <v>30.2</v>
      </c>
      <c r="J361" s="418">
        <v>30.2</v>
      </c>
      <c r="K361" s="418">
        <v>30.2</v>
      </c>
      <c r="L361" s="2929">
        <v>30.2</v>
      </c>
      <c r="M361" s="3176"/>
      <c r="N361" s="3176"/>
      <c r="O361" s="3176"/>
      <c r="P361" s="3176"/>
      <c r="Q361" s="1709">
        <v>30.2</v>
      </c>
      <c r="R361" s="1079"/>
      <c r="S361" s="1063"/>
      <c r="T361" s="2971"/>
      <c r="U361" s="2973"/>
      <c r="V361" s="2684"/>
      <c r="W361" s="116"/>
      <c r="X361" s="116"/>
    </row>
    <row r="362" spans="1:24" ht="15.75" hidden="1" thickBot="1">
      <c r="A362" s="1080"/>
      <c r="B362" s="164"/>
      <c r="C362" s="989"/>
      <c r="D362" s="492"/>
      <c r="E362" s="492"/>
      <c r="F362" s="492"/>
      <c r="G362" s="492"/>
      <c r="H362" s="492"/>
      <c r="I362" s="492"/>
      <c r="J362" s="492"/>
      <c r="K362" s="492"/>
      <c r="L362" s="1596"/>
      <c r="M362" s="2422"/>
      <c r="N362" s="2422"/>
      <c r="O362" s="2422"/>
      <c r="P362" s="2422"/>
      <c r="Q362" s="1619"/>
      <c r="R362" s="1117"/>
      <c r="S362" s="1073"/>
      <c r="T362" s="2972"/>
      <c r="U362" s="117"/>
      <c r="V362" s="2684"/>
      <c r="W362" s="116"/>
      <c r="X362" s="116"/>
    </row>
    <row r="363" spans="1:24" ht="15.75" thickBot="1">
      <c r="A363" s="76"/>
      <c r="B363" s="128" t="s">
        <v>157</v>
      </c>
      <c r="C363" s="129" t="s">
        <v>383</v>
      </c>
      <c r="D363" s="430">
        <f t="shared" ref="D363:T363" si="110">D343+D351+D358</f>
        <v>60659.2019</v>
      </c>
      <c r="E363" s="430">
        <f t="shared" si="110"/>
        <v>14383.735999999999</v>
      </c>
      <c r="F363" s="430">
        <f t="shared" si="110"/>
        <v>23906.55411248</v>
      </c>
      <c r="G363" s="430">
        <f t="shared" si="110"/>
        <v>27941.667134399999</v>
      </c>
      <c r="H363" s="430">
        <f t="shared" si="110"/>
        <v>17415.695663999999</v>
      </c>
      <c r="I363" s="430">
        <f t="shared" si="110"/>
        <v>27518.750760000003</v>
      </c>
      <c r="J363" s="430">
        <f t="shared" si="110"/>
        <v>40608.789472000004</v>
      </c>
      <c r="K363" s="430">
        <f t="shared" si="110"/>
        <v>27261.057365296001</v>
      </c>
      <c r="L363" s="2645">
        <f t="shared" si="110"/>
        <v>33950.091473003726</v>
      </c>
      <c r="M363" s="3170"/>
      <c r="N363" s="3170"/>
      <c r="O363" s="3170"/>
      <c r="P363" s="3170"/>
      <c r="Q363" s="509">
        <f t="shared" si="110"/>
        <v>14257.022813113374</v>
      </c>
      <c r="R363" s="430">
        <f t="shared" si="110"/>
        <v>0</v>
      </c>
      <c r="S363" s="430">
        <f t="shared" si="110"/>
        <v>0</v>
      </c>
      <c r="T363" s="1033" t="e">
        <f t="shared" si="110"/>
        <v>#VALUE!</v>
      </c>
      <c r="U363" s="2422"/>
      <c r="V363" s="2422"/>
      <c r="W363" s="116"/>
      <c r="X363" s="116"/>
    </row>
    <row r="364" spans="1:24">
      <c r="A364" s="59"/>
      <c r="B364" s="123"/>
      <c r="C364" s="124"/>
      <c r="D364" s="117"/>
      <c r="E364" s="117"/>
      <c r="F364" s="117"/>
      <c r="G364" s="117"/>
      <c r="H364" s="117"/>
      <c r="I364" s="117"/>
      <c r="J364" s="117"/>
      <c r="K364" s="117"/>
      <c r="L364" s="117"/>
      <c r="M364" s="117"/>
      <c r="N364" s="117"/>
      <c r="O364" s="117"/>
      <c r="P364" s="117"/>
      <c r="Q364" s="117"/>
      <c r="R364" s="117"/>
      <c r="S364" s="117"/>
    </row>
    <row r="365" spans="1:24">
      <c r="A365" s="372" t="s">
        <v>537</v>
      </c>
      <c r="B365" s="373"/>
      <c r="C365" s="374"/>
      <c r="D365" s="375"/>
      <c r="E365" s="375"/>
      <c r="F365" s="375"/>
      <c r="G365" s="117"/>
      <c r="H365" s="117"/>
      <c r="I365" s="117"/>
      <c r="J365" s="117"/>
      <c r="K365" s="117"/>
      <c r="L365" s="117"/>
      <c r="M365" s="117"/>
      <c r="N365" s="117"/>
      <c r="O365" s="117"/>
      <c r="P365" s="117"/>
      <c r="Q365" s="117"/>
      <c r="R365" s="117"/>
      <c r="S365" s="117"/>
    </row>
    <row r="366" spans="1:24">
      <c r="A366" s="59"/>
      <c r="B366" s="123"/>
      <c r="C366" s="124"/>
      <c r="D366" s="117"/>
      <c r="E366" s="117"/>
      <c r="F366" s="3457" t="s">
        <v>295</v>
      </c>
      <c r="G366" s="3457"/>
      <c r="H366" s="3457"/>
      <c r="I366" s="3457"/>
      <c r="J366" s="3457"/>
      <c r="K366" s="3457"/>
      <c r="L366" s="3457"/>
      <c r="M366" s="3457"/>
      <c r="N366" s="3457"/>
      <c r="O366" s="3457"/>
      <c r="P366" s="3457"/>
      <c r="Q366" s="3457"/>
      <c r="R366" s="3457"/>
      <c r="S366" s="3457"/>
    </row>
    <row r="367" spans="1:24">
      <c r="F367" s="3457" t="s">
        <v>169</v>
      </c>
      <c r="G367" s="3457"/>
      <c r="H367" s="3457"/>
      <c r="I367" s="3457"/>
      <c r="J367" s="3457"/>
      <c r="K367" s="3457"/>
      <c r="L367" s="3457"/>
      <c r="M367" s="3457"/>
      <c r="N367" s="3457"/>
      <c r="O367" s="3457"/>
      <c r="P367" s="3457"/>
      <c r="Q367" s="3457"/>
      <c r="R367" s="3457"/>
      <c r="S367" s="3457"/>
    </row>
    <row r="368" spans="1:24">
      <c r="F368" s="58" t="s">
        <v>294</v>
      </c>
      <c r="G368" s="348"/>
      <c r="H368" s="1968"/>
      <c r="I368" s="1968"/>
      <c r="J368" s="1534"/>
      <c r="K368" s="1534"/>
      <c r="L368" s="348"/>
      <c r="M368" s="3082"/>
      <c r="N368" s="3082"/>
      <c r="O368" s="3082"/>
      <c r="P368" s="3082"/>
      <c r="Q368" s="348"/>
      <c r="R368" s="348"/>
      <c r="S368" s="348"/>
    </row>
    <row r="369" spans="1:23">
      <c r="F369" s="3457" t="s">
        <v>170</v>
      </c>
      <c r="G369" s="3457"/>
      <c r="H369" s="3457"/>
      <c r="I369" s="3457"/>
      <c r="J369" s="3457"/>
      <c r="K369" s="3457"/>
      <c r="L369" s="3457"/>
      <c r="M369" s="3457"/>
      <c r="N369" s="3457"/>
      <c r="O369" s="3457"/>
      <c r="P369" s="3457"/>
      <c r="Q369" s="3457"/>
      <c r="R369" s="3457"/>
      <c r="S369" s="3457"/>
    </row>
    <row r="371" spans="1:23" ht="19.5" thickBot="1">
      <c r="A371" s="360" t="s">
        <v>1790</v>
      </c>
    </row>
    <row r="372" spans="1:23" ht="15.75" thickBot="1">
      <c r="A372" s="3389" t="s">
        <v>0</v>
      </c>
      <c r="B372" s="3389" t="s">
        <v>1</v>
      </c>
      <c r="C372" s="3389" t="s">
        <v>2</v>
      </c>
      <c r="D372" s="3432" t="s">
        <v>165</v>
      </c>
      <c r="E372" s="3433"/>
      <c r="F372" s="3433"/>
      <c r="G372" s="3433"/>
      <c r="H372" s="3433"/>
      <c r="I372" s="3433"/>
      <c r="J372" s="3433"/>
      <c r="K372" s="3433"/>
      <c r="L372" s="3433"/>
      <c r="M372" s="3081"/>
      <c r="N372" s="3081"/>
      <c r="O372" s="3081"/>
      <c r="P372" s="3081"/>
      <c r="Q372" s="3432" t="s">
        <v>166</v>
      </c>
      <c r="R372" s="3433"/>
      <c r="S372" s="3433"/>
      <c r="T372" s="3434"/>
      <c r="U372" s="2683"/>
      <c r="V372" s="3449"/>
      <c r="W372" s="3449"/>
    </row>
    <row r="373" spans="1:23" ht="15.75" customHeight="1" thickBot="1">
      <c r="A373" s="3401"/>
      <c r="B373" s="3401"/>
      <c r="C373" s="3401"/>
      <c r="D373" s="3418" t="s">
        <v>1196</v>
      </c>
      <c r="E373" s="3419"/>
      <c r="F373" s="3418">
        <v>2015</v>
      </c>
      <c r="G373" s="3419"/>
      <c r="H373" s="3389" t="s">
        <v>1375</v>
      </c>
      <c r="I373" s="3389" t="s">
        <v>1376</v>
      </c>
      <c r="J373" s="3389" t="s">
        <v>394</v>
      </c>
      <c r="K373" s="3389" t="s">
        <v>395</v>
      </c>
      <c r="L373" s="3387" t="s">
        <v>1155</v>
      </c>
      <c r="M373" s="3075"/>
      <c r="N373" s="3075"/>
      <c r="O373" s="3075"/>
      <c r="P373" s="3075"/>
      <c r="Q373" s="3389" t="s">
        <v>394</v>
      </c>
      <c r="R373" s="3389" t="s">
        <v>395</v>
      </c>
      <c r="S373" s="3495" t="s">
        <v>1155</v>
      </c>
      <c r="T373" s="3389" t="s">
        <v>1061</v>
      </c>
      <c r="U373" s="3631"/>
      <c r="V373" s="3631"/>
      <c r="W373" s="3631"/>
    </row>
    <row r="374" spans="1:23" ht="28.5" customHeight="1" thickBot="1">
      <c r="A374" s="3390"/>
      <c r="B374" s="3390"/>
      <c r="C374" s="3390"/>
      <c r="D374" s="1535" t="s">
        <v>5</v>
      </c>
      <c r="E374" s="4" t="s">
        <v>6</v>
      </c>
      <c r="F374" s="4" t="s">
        <v>7</v>
      </c>
      <c r="G374" s="4" t="s">
        <v>8</v>
      </c>
      <c r="H374" s="3390"/>
      <c r="I374" s="3390"/>
      <c r="J374" s="3390"/>
      <c r="K374" s="3390"/>
      <c r="L374" s="3388"/>
      <c r="M374" s="3076"/>
      <c r="N374" s="3076"/>
      <c r="O374" s="3076"/>
      <c r="P374" s="3076"/>
      <c r="Q374" s="3390"/>
      <c r="R374" s="3390"/>
      <c r="S374" s="3496"/>
      <c r="T374" s="3390"/>
      <c r="U374" s="3631"/>
      <c r="V374" s="3631"/>
      <c r="W374" s="3631"/>
    </row>
    <row r="375" spans="1:23" hidden="1">
      <c r="A375" s="534">
        <v>1</v>
      </c>
      <c r="B375" s="3">
        <v>2</v>
      </c>
      <c r="C375" s="3">
        <v>3</v>
      </c>
      <c r="D375" s="3">
        <v>4</v>
      </c>
      <c r="E375" s="3">
        <v>5</v>
      </c>
      <c r="F375" s="3">
        <v>6</v>
      </c>
      <c r="G375" s="3">
        <v>7</v>
      </c>
      <c r="H375" s="3"/>
      <c r="I375" s="3"/>
      <c r="J375" s="3"/>
      <c r="K375" s="3"/>
      <c r="L375" s="2934">
        <v>8</v>
      </c>
      <c r="M375" s="3172"/>
      <c r="N375" s="3172"/>
      <c r="O375" s="3172"/>
      <c r="P375" s="3172"/>
      <c r="Q375" s="534">
        <v>9</v>
      </c>
      <c r="R375" s="1052">
        <v>10</v>
      </c>
      <c r="S375" s="993">
        <v>11</v>
      </c>
      <c r="T375" s="2632">
        <v>12</v>
      </c>
      <c r="U375" s="116"/>
      <c r="V375" s="2684"/>
      <c r="W375" s="116"/>
    </row>
    <row r="376" spans="1:23" ht="45">
      <c r="A376" s="1064">
        <v>1</v>
      </c>
      <c r="B376" s="72" t="s">
        <v>253</v>
      </c>
      <c r="C376" s="72"/>
      <c r="D376" s="459">
        <f t="shared" ref="D376:T376" si="111">SUM(D377:D381)</f>
        <v>796397.26400000008</v>
      </c>
      <c r="E376" s="459">
        <f t="shared" si="111"/>
        <v>811340.11400000006</v>
      </c>
      <c r="F376" s="459">
        <f t="shared" si="111"/>
        <v>1192970.6188800002</v>
      </c>
      <c r="G376" s="459">
        <f t="shared" si="111"/>
        <v>949668.29600000009</v>
      </c>
      <c r="H376" s="459">
        <f t="shared" si="111"/>
        <v>949668.29500000016</v>
      </c>
      <c r="I376" s="459">
        <f t="shared" si="111"/>
        <v>949668.29500000016</v>
      </c>
      <c r="J376" s="459">
        <f t="shared" si="111"/>
        <v>1541079.6403399999</v>
      </c>
      <c r="K376" s="459">
        <f t="shared" si="111"/>
        <v>1668742.87414</v>
      </c>
      <c r="L376" s="2666">
        <f t="shared" si="111"/>
        <v>1732528.8531399998</v>
      </c>
      <c r="M376" s="3185"/>
      <c r="N376" s="3185"/>
      <c r="O376" s="3185"/>
      <c r="P376" s="3185"/>
      <c r="Q376" s="2675">
        <f t="shared" si="111"/>
        <v>0</v>
      </c>
      <c r="R376" s="459">
        <f t="shared" si="111"/>
        <v>0</v>
      </c>
      <c r="S376" s="459">
        <f t="shared" si="111"/>
        <v>0</v>
      </c>
      <c r="T376" s="505">
        <f t="shared" si="111"/>
        <v>0</v>
      </c>
      <c r="U376" s="2978"/>
      <c r="V376" s="2978"/>
      <c r="W376" s="116"/>
    </row>
    <row r="377" spans="1:23">
      <c r="A377" s="1045" t="s">
        <v>10</v>
      </c>
      <c r="B377" s="1" t="s">
        <v>254</v>
      </c>
      <c r="C377" s="92" t="s">
        <v>11</v>
      </c>
      <c r="D377" s="416">
        <v>95567.64</v>
      </c>
      <c r="E377" s="416">
        <v>122659.78</v>
      </c>
      <c r="F377" s="416">
        <v>225945.96864000001</v>
      </c>
      <c r="G377" s="416">
        <v>144326.38</v>
      </c>
      <c r="H377" s="416">
        <v>144326.38500000001</v>
      </c>
      <c r="I377" s="416">
        <v>144326.38500000001</v>
      </c>
      <c r="J377" s="416">
        <f>I395</f>
        <v>144326.38500000001</v>
      </c>
      <c r="K377" s="416">
        <f>J395</f>
        <v>143963.58480000001</v>
      </c>
      <c r="L377" s="415">
        <f>K395</f>
        <v>143597.16000000003</v>
      </c>
      <c r="M377" s="1485"/>
      <c r="N377" s="1485"/>
      <c r="O377" s="1485"/>
      <c r="P377" s="1485"/>
      <c r="Q377" s="1604"/>
      <c r="R377" s="1030"/>
      <c r="S377" s="1034"/>
      <c r="T377" s="1030"/>
      <c r="U377" s="1290"/>
      <c r="V377" s="2684"/>
      <c r="W377" s="116"/>
    </row>
    <row r="378" spans="1:23" ht="30">
      <c r="A378" s="521" t="s">
        <v>18</v>
      </c>
      <c r="B378" s="60" t="s">
        <v>256</v>
      </c>
      <c r="C378" s="2" t="s">
        <v>11</v>
      </c>
      <c r="D378" s="416">
        <v>605261.94800000009</v>
      </c>
      <c r="E378" s="416">
        <v>673980.24</v>
      </c>
      <c r="F378" s="416">
        <v>837139.59936000011</v>
      </c>
      <c r="G378" s="416">
        <v>707547.05599999998</v>
      </c>
      <c r="H378" s="416">
        <v>707547.05</v>
      </c>
      <c r="I378" s="416">
        <v>707547.05</v>
      </c>
      <c r="J378" s="416">
        <f t="shared" ref="J378:L381" si="112">I396</f>
        <v>1198173.17</v>
      </c>
      <c r="K378" s="416">
        <f t="shared" si="112"/>
        <v>1276753.6413999998</v>
      </c>
      <c r="L378" s="415">
        <f t="shared" si="112"/>
        <v>1290966.0292</v>
      </c>
      <c r="M378" s="1485"/>
      <c r="N378" s="1485"/>
      <c r="O378" s="1485"/>
      <c r="P378" s="1485"/>
      <c r="Q378" s="1604"/>
      <c r="R378" s="1030"/>
      <c r="S378" s="1034"/>
      <c r="T378" s="1030"/>
      <c r="U378" s="1290"/>
      <c r="V378" s="2684"/>
      <c r="W378" s="116"/>
    </row>
    <row r="379" spans="1:23">
      <c r="A379" s="1045" t="s">
        <v>30</v>
      </c>
      <c r="B379" s="1" t="s">
        <v>257</v>
      </c>
      <c r="C379" s="92" t="s">
        <v>11</v>
      </c>
      <c r="D379" s="416">
        <v>63711.784000000007</v>
      </c>
      <c r="E379" s="416">
        <v>14700.093999999999</v>
      </c>
      <c r="F379" s="416">
        <v>84869.153280000013</v>
      </c>
      <c r="G379" s="416">
        <v>21262.799999999999</v>
      </c>
      <c r="H379" s="416">
        <v>21262.799999999999</v>
      </c>
      <c r="I379" s="416">
        <v>21262.799999999999</v>
      </c>
      <c r="J379" s="416">
        <f t="shared" si="112"/>
        <v>21867.023130000001</v>
      </c>
      <c r="K379" s="416">
        <f t="shared" si="112"/>
        <v>22170.561330000004</v>
      </c>
      <c r="L379" s="415">
        <f t="shared" si="112"/>
        <v>22477.136130000006</v>
      </c>
      <c r="M379" s="1485"/>
      <c r="N379" s="1485"/>
      <c r="O379" s="1485"/>
      <c r="P379" s="1485"/>
      <c r="Q379" s="1604"/>
      <c r="R379" s="1030"/>
      <c r="S379" s="1034"/>
      <c r="T379" s="1030"/>
      <c r="U379" s="1290"/>
      <c r="V379" s="2684"/>
      <c r="W379" s="116"/>
    </row>
    <row r="380" spans="1:23">
      <c r="A380" s="1045" t="s">
        <v>255</v>
      </c>
      <c r="B380" s="1" t="s">
        <v>258</v>
      </c>
      <c r="C380" s="92" t="s">
        <v>11</v>
      </c>
      <c r="D380" s="416">
        <v>31855.892000000003</v>
      </c>
      <c r="E380" s="416">
        <v>0</v>
      </c>
      <c r="F380" s="416">
        <v>44963.539200000007</v>
      </c>
      <c r="G380" s="416">
        <v>76532.06</v>
      </c>
      <c r="H380" s="416">
        <f>76532.06</f>
        <v>76532.06</v>
      </c>
      <c r="I380" s="416">
        <f>76532.06</f>
        <v>76532.06</v>
      </c>
      <c r="J380" s="416">
        <f t="shared" si="112"/>
        <v>176823.06221</v>
      </c>
      <c r="K380" s="416">
        <f t="shared" si="112"/>
        <v>225917.33681000001</v>
      </c>
      <c r="L380" s="415">
        <f t="shared" si="112"/>
        <v>275502.55360999994</v>
      </c>
      <c r="M380" s="1485"/>
      <c r="N380" s="1485"/>
      <c r="O380" s="1485"/>
      <c r="P380" s="1485"/>
      <c r="Q380" s="1604"/>
      <c r="R380" s="1030"/>
      <c r="S380" s="1034"/>
      <c r="T380" s="1030"/>
      <c r="U380" s="1290"/>
      <c r="V380" s="2684"/>
      <c r="W380" s="116"/>
    </row>
    <row r="381" spans="1:23">
      <c r="A381" s="1045" t="s">
        <v>40</v>
      </c>
      <c r="B381" s="1" t="s">
        <v>259</v>
      </c>
      <c r="C381" s="92" t="s">
        <v>11</v>
      </c>
      <c r="D381" s="416"/>
      <c r="E381" s="416"/>
      <c r="F381" s="416">
        <v>52.358399999999989</v>
      </c>
      <c r="G381" s="416"/>
      <c r="H381" s="416"/>
      <c r="I381" s="416"/>
      <c r="J381" s="416">
        <f t="shared" si="112"/>
        <v>-110</v>
      </c>
      <c r="K381" s="416">
        <f t="shared" si="112"/>
        <v>-62.2502</v>
      </c>
      <c r="L381" s="415">
        <f t="shared" si="112"/>
        <v>-14.025800000000011</v>
      </c>
      <c r="M381" s="1485"/>
      <c r="N381" s="1485"/>
      <c r="O381" s="1485"/>
      <c r="P381" s="1485"/>
      <c r="Q381" s="1604"/>
      <c r="R381" s="1030"/>
      <c r="S381" s="1034"/>
      <c r="T381" s="1030"/>
      <c r="U381" s="1290"/>
      <c r="V381" s="2684"/>
      <c r="W381" s="116"/>
    </row>
    <row r="382" spans="1:23">
      <c r="A382" s="1082" t="s">
        <v>50</v>
      </c>
      <c r="B382" s="39" t="s">
        <v>260</v>
      </c>
      <c r="C382" s="96"/>
      <c r="D382" s="426">
        <v>253860.2658816</v>
      </c>
      <c r="E382" s="426">
        <f t="shared" ref="E382:T382" si="113">SUM(E383:E387)</f>
        <v>146907.24000000002</v>
      </c>
      <c r="F382" s="426">
        <f t="shared" si="113"/>
        <v>53028.487679999998</v>
      </c>
      <c r="G382" s="426">
        <f t="shared" si="113"/>
        <v>401719.2452</v>
      </c>
      <c r="H382" s="426">
        <f t="shared" si="113"/>
        <v>51918.534</v>
      </c>
      <c r="I382" s="426">
        <f t="shared" si="113"/>
        <v>592028.7053400001</v>
      </c>
      <c r="J382" s="426">
        <f>SUM(J384:J387)</f>
        <v>129640.08560000001</v>
      </c>
      <c r="K382" s="426">
        <f t="shared" si="113"/>
        <v>67628.512799999997</v>
      </c>
      <c r="L382" s="2651">
        <f t="shared" si="113"/>
        <v>396089.23859999998</v>
      </c>
      <c r="M382" s="3168"/>
      <c r="N382" s="3168"/>
      <c r="O382" s="3168"/>
      <c r="P382" s="3168"/>
      <c r="Q382" s="2614">
        <f t="shared" si="113"/>
        <v>0</v>
      </c>
      <c r="R382" s="426">
        <f t="shared" si="113"/>
        <v>0</v>
      </c>
      <c r="S382" s="426">
        <f t="shared" si="113"/>
        <v>0</v>
      </c>
      <c r="T382" s="1029">
        <f t="shared" si="113"/>
        <v>0</v>
      </c>
      <c r="U382" s="2422"/>
      <c r="V382" s="2422"/>
      <c r="W382" s="116"/>
    </row>
    <row r="383" spans="1:23">
      <c r="A383" s="1045" t="s">
        <v>52</v>
      </c>
      <c r="B383" s="1" t="s">
        <v>254</v>
      </c>
      <c r="C383" s="92" t="s">
        <v>11</v>
      </c>
      <c r="D383" s="416">
        <v>84132.169267200021</v>
      </c>
      <c r="E383" s="416">
        <f>40605*0.52</f>
        <v>21114.600000000002</v>
      </c>
      <c r="F383" s="416">
        <f>46295.2*0.96*0.4</f>
        <v>17777.356799999998</v>
      </c>
      <c r="G383" s="416">
        <f>236941.05*0.52</f>
        <v>123209.34600000001</v>
      </c>
      <c r="H383" s="416">
        <v>0</v>
      </c>
      <c r="I383" s="416">
        <f>H383+H383*1.01</f>
        <v>0</v>
      </c>
      <c r="J383" s="416">
        <f>4351.52*0.42</f>
        <v>1827.6384</v>
      </c>
      <c r="K383" s="416">
        <f>4395.04*0.42</f>
        <v>1845.9168</v>
      </c>
      <c r="L383" s="415">
        <f>369574*0.9</f>
        <v>332616.60000000003</v>
      </c>
      <c r="M383" s="1485"/>
      <c r="N383" s="1485"/>
      <c r="O383" s="1485"/>
      <c r="P383" s="1485"/>
      <c r="Q383" s="1604"/>
      <c r="R383" s="1030"/>
      <c r="S383" s="1034"/>
      <c r="T383" s="1030"/>
      <c r="U383" s="1290"/>
      <c r="V383" s="2684"/>
      <c r="W383" s="116"/>
    </row>
    <row r="384" spans="1:23" ht="30">
      <c r="A384" s="521" t="s">
        <v>54</v>
      </c>
      <c r="B384" s="60" t="s">
        <v>256</v>
      </c>
      <c r="C384" s="2" t="s">
        <v>11</v>
      </c>
      <c r="D384" s="416">
        <v>156178.13176319998</v>
      </c>
      <c r="E384" s="416">
        <f>66245*0.52</f>
        <v>34447.4</v>
      </c>
      <c r="F384" s="416">
        <f>61050.94*0.96*0.4</f>
        <v>23443.560960000003</v>
      </c>
      <c r="G384" s="416">
        <f>(1858963-1471530)*0.52</f>
        <v>201465.16</v>
      </c>
      <c r="H384" s="416">
        <f>4287*0.4</f>
        <v>1714.8000000000002</v>
      </c>
      <c r="I384" s="416">
        <f>1818960*0.27</f>
        <v>491119.2</v>
      </c>
      <c r="J384" s="416">
        <f>98538.4*0.8</f>
        <v>78830.720000000001</v>
      </c>
      <c r="K384" s="416">
        <f>1446513.96*0.01</f>
        <v>14465.1396</v>
      </c>
      <c r="L384" s="415">
        <f>27719.07*0.42</f>
        <v>11642.009399999999</v>
      </c>
      <c r="M384" s="1485"/>
      <c r="N384" s="1485"/>
      <c r="O384" s="1485"/>
      <c r="P384" s="1485"/>
      <c r="Q384" s="1604"/>
      <c r="R384" s="1030"/>
      <c r="S384" s="1034"/>
      <c r="T384" s="1030"/>
      <c r="U384" s="1290"/>
      <c r="V384" s="2684"/>
      <c r="W384" s="116"/>
    </row>
    <row r="385" spans="1:23">
      <c r="A385" s="1045" t="s">
        <v>56</v>
      </c>
      <c r="B385" s="1" t="s">
        <v>257</v>
      </c>
      <c r="C385" s="92" t="s">
        <v>11</v>
      </c>
      <c r="D385" s="416">
        <v>8163.2550912000006</v>
      </c>
      <c r="E385" s="416">
        <f>28304*0.52</f>
        <v>14718.08</v>
      </c>
      <c r="F385" s="416">
        <f>12106.55*0.96*0.4</f>
        <v>4648.9151999999995</v>
      </c>
      <c r="G385" s="416">
        <f>28587.04*0.52</f>
        <v>14865.260800000002</v>
      </c>
      <c r="H385" s="416">
        <f>732.65*0.42</f>
        <v>307.71299999999997</v>
      </c>
      <c r="I385" s="416">
        <f t="shared" ref="I385:I387" si="114">H385+H385*1.01</f>
        <v>618.50312999999994</v>
      </c>
      <c r="J385" s="416">
        <f>739.97*0.42</f>
        <v>310.78739999999999</v>
      </c>
      <c r="K385" s="416">
        <f>747.37*0.42</f>
        <v>313.8954</v>
      </c>
      <c r="L385" s="415">
        <f>754.84*0.42</f>
        <v>317.03280000000001</v>
      </c>
      <c r="M385" s="1485"/>
      <c r="N385" s="1485"/>
      <c r="O385" s="1485"/>
      <c r="P385" s="1485"/>
      <c r="Q385" s="1604"/>
      <c r="R385" s="1030"/>
      <c r="S385" s="1034"/>
      <c r="T385" s="1030"/>
      <c r="U385" s="1290"/>
      <c r="V385" s="2684"/>
      <c r="W385" s="116"/>
    </row>
    <row r="386" spans="1:23">
      <c r="A386" s="1045" t="s">
        <v>261</v>
      </c>
      <c r="B386" s="1" t="s">
        <v>258</v>
      </c>
      <c r="C386" s="92" t="s">
        <v>11</v>
      </c>
      <c r="D386" s="416">
        <v>5336.8955904000004</v>
      </c>
      <c r="E386" s="416">
        <v>76532</v>
      </c>
      <c r="F386" s="416">
        <f>18469.93*0.96*0.4</f>
        <v>7092.4531200000001</v>
      </c>
      <c r="G386" s="416">
        <f>119391.09*0.52</f>
        <v>62083.366800000003</v>
      </c>
      <c r="H386" s="416">
        <f>118800.05*0.42</f>
        <v>49896.021000000001</v>
      </c>
      <c r="I386" s="416">
        <f t="shared" si="114"/>
        <v>100291.00221000001</v>
      </c>
      <c r="J386" s="416">
        <f>119988.05*0.42</f>
        <v>50394.981</v>
      </c>
      <c r="K386" s="416">
        <f>121187.93*0.42</f>
        <v>50898.930599999992</v>
      </c>
      <c r="L386" s="415">
        <f>122399.81*0.42</f>
        <v>51407.9202</v>
      </c>
      <c r="M386" s="1485"/>
      <c r="N386" s="1485"/>
      <c r="O386" s="1485"/>
      <c r="P386" s="1485"/>
      <c r="Q386" s="1604"/>
      <c r="R386" s="1030"/>
      <c r="S386" s="1034"/>
      <c r="T386" s="1030"/>
      <c r="U386" s="1290"/>
      <c r="V386" s="2684"/>
      <c r="W386" s="116"/>
    </row>
    <row r="387" spans="1:23">
      <c r="A387" s="1045" t="s">
        <v>262</v>
      </c>
      <c r="B387" s="1" t="s">
        <v>259</v>
      </c>
      <c r="C387" s="92" t="s">
        <v>11</v>
      </c>
      <c r="D387" s="416">
        <v>49.814169599999992</v>
      </c>
      <c r="E387" s="416">
        <f>183*0.52</f>
        <v>95.16</v>
      </c>
      <c r="F387" s="416">
        <f>172.4*0.96*0.4</f>
        <v>66.201599999999999</v>
      </c>
      <c r="G387" s="416">
        <f>184.83*0.52</f>
        <v>96.11160000000001</v>
      </c>
      <c r="H387" s="416">
        <v>0</v>
      </c>
      <c r="I387" s="416">
        <f t="shared" si="114"/>
        <v>0</v>
      </c>
      <c r="J387" s="416">
        <f>246.66*0.42</f>
        <v>103.5972</v>
      </c>
      <c r="K387" s="416">
        <f>249.12*0.42</f>
        <v>104.63039999999999</v>
      </c>
      <c r="L387" s="415">
        <f>251.61*0.42</f>
        <v>105.67620000000001</v>
      </c>
      <c r="M387" s="1485"/>
      <c r="N387" s="1485"/>
      <c r="O387" s="1485"/>
      <c r="P387" s="1485"/>
      <c r="Q387" s="1604"/>
      <c r="R387" s="1030"/>
      <c r="S387" s="1034"/>
      <c r="T387" s="1030"/>
      <c r="U387" s="1290"/>
      <c r="V387" s="2684"/>
      <c r="W387" s="116"/>
    </row>
    <row r="388" spans="1:23">
      <c r="A388" s="1078">
        <v>3</v>
      </c>
      <c r="B388" s="72" t="s">
        <v>263</v>
      </c>
      <c r="C388" s="96" t="s">
        <v>11</v>
      </c>
      <c r="D388" s="426">
        <v>2635.7296128000003</v>
      </c>
      <c r="E388" s="426">
        <f t="shared" ref="E388:T388" si="115">SUM(E389:E393)</f>
        <v>4521.92</v>
      </c>
      <c r="F388" s="426">
        <f t="shared" si="115"/>
        <v>2635.7296128000003</v>
      </c>
      <c r="G388" s="426">
        <f t="shared" si="115"/>
        <v>6074.9884000000002</v>
      </c>
      <c r="H388" s="426">
        <f t="shared" si="115"/>
        <v>253.67999999999998</v>
      </c>
      <c r="I388" s="426">
        <f t="shared" si="115"/>
        <v>617.3599999999999</v>
      </c>
      <c r="J388" s="426">
        <f t="shared" si="115"/>
        <v>3804.4902000000002</v>
      </c>
      <c r="K388" s="426">
        <f t="shared" si="115"/>
        <v>3842.5337999999997</v>
      </c>
      <c r="L388" s="2651">
        <f t="shared" si="115"/>
        <v>4128.8436000000002</v>
      </c>
      <c r="M388" s="3168"/>
      <c r="N388" s="3168"/>
      <c r="O388" s="3168"/>
      <c r="P388" s="3168"/>
      <c r="Q388" s="2614">
        <f t="shared" si="115"/>
        <v>0</v>
      </c>
      <c r="R388" s="426">
        <f t="shared" si="115"/>
        <v>0</v>
      </c>
      <c r="S388" s="426">
        <f t="shared" si="115"/>
        <v>0</v>
      </c>
      <c r="T388" s="1029">
        <f t="shared" si="115"/>
        <v>0</v>
      </c>
      <c r="U388" s="2422"/>
      <c r="V388" s="2422"/>
      <c r="W388" s="116"/>
    </row>
    <row r="389" spans="1:23">
      <c r="A389" s="538" t="s">
        <v>64</v>
      </c>
      <c r="B389" s="1" t="s">
        <v>254</v>
      </c>
      <c r="C389" s="92" t="s">
        <v>11</v>
      </c>
      <c r="D389" s="416">
        <v>68.089190400000007</v>
      </c>
      <c r="E389" s="416">
        <f>5318*0.52</f>
        <v>2765.36</v>
      </c>
      <c r="F389" s="416">
        <v>68.089190400000007</v>
      </c>
      <c r="G389" s="416">
        <f>5189.38*0.52</f>
        <v>2698.4776000000002</v>
      </c>
      <c r="H389" s="416">
        <v>0</v>
      </c>
      <c r="I389" s="416">
        <f>H389*2</f>
        <v>0</v>
      </c>
      <c r="J389" s="416">
        <f>5215.33*0.42</f>
        <v>2190.4386</v>
      </c>
      <c r="K389" s="416">
        <f>5267.48*0.42</f>
        <v>2212.3415999999997</v>
      </c>
      <c r="L389" s="415">
        <f>5320.15*0.42</f>
        <v>2234.4629999999997</v>
      </c>
      <c r="M389" s="1485"/>
      <c r="N389" s="1485"/>
      <c r="O389" s="1485"/>
      <c r="P389" s="1485"/>
      <c r="Q389" s="1604"/>
      <c r="R389" s="1030"/>
      <c r="S389" s="1034"/>
      <c r="T389" s="1030"/>
      <c r="U389" s="1290"/>
      <c r="V389" s="2684"/>
      <c r="W389" s="116"/>
    </row>
    <row r="390" spans="1:23" ht="30">
      <c r="A390" s="521" t="s">
        <v>80</v>
      </c>
      <c r="B390" s="60" t="s">
        <v>256</v>
      </c>
      <c r="C390" s="92" t="s">
        <v>11</v>
      </c>
      <c r="D390" s="416">
        <v>75.458150400000008</v>
      </c>
      <c r="E390" s="416">
        <f>2154*0.52</f>
        <v>1120.08</v>
      </c>
      <c r="F390" s="416">
        <v>75.458150400000008</v>
      </c>
      <c r="G390" s="416">
        <f>2175.54*0.52</f>
        <v>1131.2808</v>
      </c>
      <c r="H390" s="416">
        <f>587*0.42</f>
        <v>246.54</v>
      </c>
      <c r="I390" s="416">
        <f t="shared" ref="I390:I392" si="116">H390*2</f>
        <v>493.08</v>
      </c>
      <c r="J390" s="416">
        <f>595.83*0.42</f>
        <v>250.24860000000001</v>
      </c>
      <c r="K390" s="416">
        <f>601.79*0.42</f>
        <v>252.75179999999997</v>
      </c>
      <c r="L390" s="415">
        <f>607.81*0.42</f>
        <v>255.28019999999998</v>
      </c>
      <c r="M390" s="1485"/>
      <c r="N390" s="1485"/>
      <c r="O390" s="1485"/>
      <c r="P390" s="1485"/>
      <c r="Q390" s="1604"/>
      <c r="R390" s="1030"/>
      <c r="S390" s="1034"/>
      <c r="T390" s="1030"/>
      <c r="U390" s="1290"/>
      <c r="V390" s="2684"/>
      <c r="W390" s="116"/>
    </row>
    <row r="391" spans="1:23">
      <c r="A391" s="538" t="s">
        <v>86</v>
      </c>
      <c r="B391" s="1" t="s">
        <v>257</v>
      </c>
      <c r="C391" s="92" t="s">
        <v>11</v>
      </c>
      <c r="D391" s="416">
        <v>2099.2693248000005</v>
      </c>
      <c r="E391" s="416">
        <f>1093*0.52</f>
        <v>568.36</v>
      </c>
      <c r="F391" s="416">
        <v>2099.2693248000005</v>
      </c>
      <c r="G391" s="416">
        <f>1103.93*0.52</f>
        <v>574.04360000000008</v>
      </c>
      <c r="H391" s="416">
        <f>17*0.42</f>
        <v>7.14</v>
      </c>
      <c r="I391" s="416">
        <f t="shared" si="116"/>
        <v>14.28</v>
      </c>
      <c r="J391" s="416">
        <f>17.26*0.42</f>
        <v>7.2492000000000001</v>
      </c>
      <c r="K391" s="416">
        <f>17.43*0.42</f>
        <v>7.3205999999999998</v>
      </c>
      <c r="L391" s="415">
        <f>607.81*0.42</f>
        <v>255.28019999999998</v>
      </c>
      <c r="M391" s="1485"/>
      <c r="N391" s="1485"/>
      <c r="O391" s="1485"/>
      <c r="P391" s="1485"/>
      <c r="Q391" s="1604"/>
      <c r="R391" s="1030"/>
      <c r="S391" s="1034"/>
      <c r="T391" s="1030"/>
      <c r="U391" s="1290"/>
      <c r="V391" s="2684"/>
      <c r="W391" s="116"/>
    </row>
    <row r="392" spans="1:23">
      <c r="A392" s="538" t="s">
        <v>88</v>
      </c>
      <c r="B392" s="1" t="s">
        <v>258</v>
      </c>
      <c r="C392" s="92" t="s">
        <v>11</v>
      </c>
      <c r="D392" s="416">
        <v>382.89116159999998</v>
      </c>
      <c r="E392" s="416">
        <v>0</v>
      </c>
      <c r="F392" s="416">
        <v>382.89116159999998</v>
      </c>
      <c r="G392" s="416">
        <f>3081.51*0.52</f>
        <v>1602.3852000000002</v>
      </c>
      <c r="H392" s="416">
        <v>0</v>
      </c>
      <c r="I392" s="416">
        <f t="shared" si="116"/>
        <v>0</v>
      </c>
      <c r="J392" s="416">
        <f>3096.92*0.42</f>
        <v>1300.7064</v>
      </c>
      <c r="K392" s="416">
        <f>3127.89*0.42</f>
        <v>1313.7138</v>
      </c>
      <c r="L392" s="415">
        <f>3159.17*0.42</f>
        <v>1326.8514</v>
      </c>
      <c r="M392" s="1485"/>
      <c r="N392" s="1485"/>
      <c r="O392" s="1485"/>
      <c r="P392" s="1485"/>
      <c r="Q392" s="1604"/>
      <c r="R392" s="1030"/>
      <c r="S392" s="1034"/>
      <c r="T392" s="1030"/>
      <c r="U392" s="1290"/>
      <c r="V392" s="2684"/>
      <c r="W392" s="116"/>
    </row>
    <row r="393" spans="1:23">
      <c r="A393" s="538" t="s">
        <v>90</v>
      </c>
      <c r="B393" s="1" t="s">
        <v>259</v>
      </c>
      <c r="C393" s="92" t="s">
        <v>11</v>
      </c>
      <c r="D393" s="416">
        <v>10.021785599999999</v>
      </c>
      <c r="E393" s="416">
        <f>131*0.52</f>
        <v>68.12</v>
      </c>
      <c r="F393" s="416">
        <v>10.021785599999999</v>
      </c>
      <c r="G393" s="416">
        <f>132.31*0.52</f>
        <v>68.801200000000009</v>
      </c>
      <c r="H393" s="416">
        <v>0</v>
      </c>
      <c r="I393" s="416">
        <v>110</v>
      </c>
      <c r="J393" s="416">
        <f>132.97*0.42</f>
        <v>55.8474</v>
      </c>
      <c r="K393" s="416">
        <f>134.3*0.42</f>
        <v>56.406000000000006</v>
      </c>
      <c r="L393" s="415">
        <f>135.64*0.42</f>
        <v>56.968799999999995</v>
      </c>
      <c r="M393" s="1485"/>
      <c r="N393" s="1485"/>
      <c r="O393" s="1485"/>
      <c r="P393" s="1485"/>
      <c r="Q393" s="1604"/>
      <c r="R393" s="1030"/>
      <c r="S393" s="1034"/>
      <c r="T393" s="1030"/>
      <c r="U393" s="1290"/>
      <c r="V393" s="2684"/>
      <c r="W393" s="116"/>
    </row>
    <row r="394" spans="1:23" ht="48.75" customHeight="1">
      <c r="A394" s="536">
        <v>4</v>
      </c>
      <c r="B394" s="98" t="s">
        <v>264</v>
      </c>
      <c r="C394" s="99"/>
      <c r="D394" s="426">
        <v>1047621.8002688001</v>
      </c>
      <c r="E394" s="426">
        <f t="shared" ref="E394:T394" si="117">SUM(E395:E399)</f>
        <v>953725.43400000012</v>
      </c>
      <c r="F394" s="426">
        <f t="shared" si="117"/>
        <v>1243363.3769472004</v>
      </c>
      <c r="G394" s="426">
        <f t="shared" si="117"/>
        <v>1345312.5528000004</v>
      </c>
      <c r="H394" s="426">
        <f t="shared" si="117"/>
        <v>1001333.1490000001</v>
      </c>
      <c r="I394" s="426">
        <f t="shared" si="117"/>
        <v>1541079.6403399999</v>
      </c>
      <c r="J394" s="426">
        <f t="shared" si="117"/>
        <v>1668742.87414</v>
      </c>
      <c r="K394" s="426">
        <f t="shared" si="117"/>
        <v>1732528.8531399998</v>
      </c>
      <c r="L394" s="2651">
        <f t="shared" si="117"/>
        <v>2124489.2481399998</v>
      </c>
      <c r="M394" s="3168"/>
      <c r="N394" s="3168"/>
      <c r="O394" s="3168"/>
      <c r="P394" s="3168"/>
      <c r="Q394" s="2614">
        <f t="shared" si="117"/>
        <v>0</v>
      </c>
      <c r="R394" s="426">
        <f t="shared" si="117"/>
        <v>0</v>
      </c>
      <c r="S394" s="426">
        <f t="shared" si="117"/>
        <v>0</v>
      </c>
      <c r="T394" s="1029">
        <f t="shared" si="117"/>
        <v>0</v>
      </c>
      <c r="U394" s="2422"/>
      <c r="V394" s="2422"/>
      <c r="W394" s="116"/>
    </row>
    <row r="395" spans="1:23">
      <c r="A395" s="538" t="s">
        <v>101</v>
      </c>
      <c r="B395" s="1" t="s">
        <v>254</v>
      </c>
      <c r="C395" s="92" t="s">
        <v>11</v>
      </c>
      <c r="D395" s="416">
        <v>179631.7200768</v>
      </c>
      <c r="E395" s="416">
        <f t="shared" ref="E395:F395" si="118">E377+E383-E389</f>
        <v>141009.02000000002</v>
      </c>
      <c r="F395" s="416">
        <f t="shared" si="118"/>
        <v>243655.23624960001</v>
      </c>
      <c r="G395" s="416">
        <f>G377+G383-G389</f>
        <v>264837.24840000004</v>
      </c>
      <c r="H395" s="416">
        <f>H377+H383-H389</f>
        <v>144326.38500000001</v>
      </c>
      <c r="I395" s="416">
        <f>I377+I383-I389</f>
        <v>144326.38500000001</v>
      </c>
      <c r="J395" s="416">
        <f t="shared" ref="J395:T395" si="119">J377+J383-J389</f>
        <v>143963.58480000001</v>
      </c>
      <c r="K395" s="416">
        <f t="shared" si="119"/>
        <v>143597.16000000003</v>
      </c>
      <c r="L395" s="415">
        <f t="shared" si="119"/>
        <v>473979.29700000008</v>
      </c>
      <c r="M395" s="1485"/>
      <c r="N395" s="1485"/>
      <c r="O395" s="1485"/>
      <c r="P395" s="1485"/>
      <c r="Q395" s="1604">
        <f t="shared" si="119"/>
        <v>0</v>
      </c>
      <c r="R395" s="416">
        <f t="shared" si="119"/>
        <v>0</v>
      </c>
      <c r="S395" s="416">
        <f t="shared" si="119"/>
        <v>0</v>
      </c>
      <c r="T395" s="1030">
        <f t="shared" si="119"/>
        <v>0</v>
      </c>
      <c r="U395" s="1290"/>
      <c r="V395" s="2684"/>
      <c r="W395" s="116"/>
    </row>
    <row r="396" spans="1:23" ht="30">
      <c r="A396" s="538" t="s">
        <v>265</v>
      </c>
      <c r="B396" s="60" t="s">
        <v>256</v>
      </c>
      <c r="C396" s="92" t="s">
        <v>11</v>
      </c>
      <c r="D396" s="416">
        <v>761364.62161280017</v>
      </c>
      <c r="E396" s="416">
        <f t="shared" ref="E396:G399" si="120">E378+E384-E390</f>
        <v>707307.56</v>
      </c>
      <c r="F396" s="416">
        <f t="shared" si="120"/>
        <v>860507.70216960018</v>
      </c>
      <c r="G396" s="416">
        <f t="shared" si="120"/>
        <v>907880.93520000007</v>
      </c>
      <c r="H396" s="416">
        <f t="shared" ref="H396:I396" si="121">H378+H384-H390</f>
        <v>709015.31</v>
      </c>
      <c r="I396" s="416">
        <f t="shared" si="121"/>
        <v>1198173.17</v>
      </c>
      <c r="J396" s="416">
        <f t="shared" ref="J396:T396" si="122">J378+J384-J390</f>
        <v>1276753.6413999998</v>
      </c>
      <c r="K396" s="416">
        <f t="shared" si="122"/>
        <v>1290966.0292</v>
      </c>
      <c r="L396" s="415">
        <f t="shared" si="122"/>
        <v>1302352.7584000002</v>
      </c>
      <c r="M396" s="1485"/>
      <c r="N396" s="1485"/>
      <c r="O396" s="1485"/>
      <c r="P396" s="1485"/>
      <c r="Q396" s="1604">
        <f t="shared" si="122"/>
        <v>0</v>
      </c>
      <c r="R396" s="416">
        <f t="shared" si="122"/>
        <v>0</v>
      </c>
      <c r="S396" s="416">
        <f t="shared" si="122"/>
        <v>0</v>
      </c>
      <c r="T396" s="1030">
        <f t="shared" si="122"/>
        <v>0</v>
      </c>
      <c r="U396" s="1290"/>
      <c r="V396" s="2684"/>
      <c r="W396" s="116"/>
    </row>
    <row r="397" spans="1:23">
      <c r="A397" s="538" t="s">
        <v>266</v>
      </c>
      <c r="B397" s="1" t="s">
        <v>257</v>
      </c>
      <c r="C397" s="92" t="s">
        <v>11</v>
      </c>
      <c r="D397" s="416">
        <v>69775.769766400015</v>
      </c>
      <c r="E397" s="416">
        <f t="shared" si="120"/>
        <v>28849.813999999998</v>
      </c>
      <c r="F397" s="416">
        <f t="shared" si="120"/>
        <v>87418.799155200017</v>
      </c>
      <c r="G397" s="416">
        <f t="shared" si="120"/>
        <v>35554.017200000002</v>
      </c>
      <c r="H397" s="416">
        <f t="shared" ref="H397:I397" si="123">H379+H385-H391</f>
        <v>21563.373</v>
      </c>
      <c r="I397" s="416">
        <f t="shared" si="123"/>
        <v>21867.023130000001</v>
      </c>
      <c r="J397" s="416">
        <f t="shared" ref="J397:T397" si="124">J379+J385-J391</f>
        <v>22170.561330000004</v>
      </c>
      <c r="K397" s="416">
        <f t="shared" si="124"/>
        <v>22477.136130000006</v>
      </c>
      <c r="L397" s="415">
        <f t="shared" si="124"/>
        <v>22538.888730000006</v>
      </c>
      <c r="M397" s="1485"/>
      <c r="N397" s="1485"/>
      <c r="O397" s="1485"/>
      <c r="P397" s="1485"/>
      <c r="Q397" s="1604">
        <f t="shared" si="124"/>
        <v>0</v>
      </c>
      <c r="R397" s="416">
        <f t="shared" si="124"/>
        <v>0</v>
      </c>
      <c r="S397" s="416">
        <f t="shared" si="124"/>
        <v>0</v>
      </c>
      <c r="T397" s="1030">
        <f t="shared" si="124"/>
        <v>0</v>
      </c>
      <c r="U397" s="1290"/>
      <c r="V397" s="2684"/>
      <c r="W397" s="116"/>
    </row>
    <row r="398" spans="1:23">
      <c r="A398" s="538" t="s">
        <v>267</v>
      </c>
      <c r="B398" s="1" t="s">
        <v>258</v>
      </c>
      <c r="C398" s="92" t="s">
        <v>11</v>
      </c>
      <c r="D398" s="416">
        <v>36809.896428800006</v>
      </c>
      <c r="E398" s="416">
        <f t="shared" si="120"/>
        <v>76532</v>
      </c>
      <c r="F398" s="416">
        <f t="shared" si="120"/>
        <v>51673.101158400008</v>
      </c>
      <c r="G398" s="416">
        <f t="shared" si="120"/>
        <v>137013.04160000003</v>
      </c>
      <c r="H398" s="416">
        <f t="shared" ref="H398:I398" si="125">H380+H386-H392</f>
        <v>126428.08100000001</v>
      </c>
      <c r="I398" s="416">
        <f t="shared" si="125"/>
        <v>176823.06221</v>
      </c>
      <c r="J398" s="416">
        <f t="shared" ref="J398:T398" si="126">J380+J386-J392</f>
        <v>225917.33681000001</v>
      </c>
      <c r="K398" s="416">
        <f t="shared" si="126"/>
        <v>275502.55360999994</v>
      </c>
      <c r="L398" s="415">
        <f t="shared" si="126"/>
        <v>325583.62240999995</v>
      </c>
      <c r="M398" s="1485"/>
      <c r="N398" s="1485"/>
      <c r="O398" s="1485"/>
      <c r="P398" s="1485"/>
      <c r="Q398" s="1604">
        <f t="shared" si="126"/>
        <v>0</v>
      </c>
      <c r="R398" s="416">
        <f t="shared" si="126"/>
        <v>0</v>
      </c>
      <c r="S398" s="416">
        <f t="shared" si="126"/>
        <v>0</v>
      </c>
      <c r="T398" s="1030">
        <f t="shared" si="126"/>
        <v>0</v>
      </c>
      <c r="U398" s="1290"/>
      <c r="V398" s="2684"/>
      <c r="W398" s="116"/>
    </row>
    <row r="399" spans="1:23">
      <c r="A399" s="538" t="s">
        <v>268</v>
      </c>
      <c r="B399" s="1" t="s">
        <v>259</v>
      </c>
      <c r="C399" s="92" t="s">
        <v>11</v>
      </c>
      <c r="D399" s="416">
        <v>39.792383999999991</v>
      </c>
      <c r="E399" s="416">
        <f t="shared" si="120"/>
        <v>27.039999999999992</v>
      </c>
      <c r="F399" s="416">
        <f t="shared" si="120"/>
        <v>108.53821439999999</v>
      </c>
      <c r="G399" s="416">
        <f t="shared" si="120"/>
        <v>27.310400000000001</v>
      </c>
      <c r="H399" s="416">
        <f t="shared" ref="H399:I399" si="127">H381+H387-H393</f>
        <v>0</v>
      </c>
      <c r="I399" s="416">
        <f t="shared" si="127"/>
        <v>-110</v>
      </c>
      <c r="J399" s="416">
        <f t="shared" ref="J399:T399" si="128">J381+J387-J393</f>
        <v>-62.2502</v>
      </c>
      <c r="K399" s="416">
        <f t="shared" si="128"/>
        <v>-14.025800000000011</v>
      </c>
      <c r="L399" s="415">
        <f t="shared" si="128"/>
        <v>34.681599999999996</v>
      </c>
      <c r="M399" s="1485"/>
      <c r="N399" s="1485"/>
      <c r="O399" s="1485"/>
      <c r="P399" s="1485"/>
      <c r="Q399" s="1604">
        <f t="shared" si="128"/>
        <v>0</v>
      </c>
      <c r="R399" s="416">
        <f t="shared" si="128"/>
        <v>0</v>
      </c>
      <c r="S399" s="416">
        <f t="shared" si="128"/>
        <v>0</v>
      </c>
      <c r="T399" s="1030">
        <f t="shared" si="128"/>
        <v>0</v>
      </c>
      <c r="U399" s="1290"/>
      <c r="V399" s="2684"/>
      <c r="W399" s="116"/>
    </row>
    <row r="400" spans="1:23">
      <c r="A400" s="1028" t="s">
        <v>221</v>
      </c>
      <c r="B400" s="39" t="s">
        <v>269</v>
      </c>
      <c r="C400" s="96"/>
      <c r="D400" s="426">
        <v>726314.30476800015</v>
      </c>
      <c r="E400" s="426">
        <f t="shared" ref="E400:T400" si="129">SUM(E401:E405)</f>
        <v>882532.77400000009</v>
      </c>
      <c r="F400" s="426">
        <f t="shared" si="129"/>
        <v>1218166.9979136004</v>
      </c>
      <c r="G400" s="426">
        <f t="shared" si="129"/>
        <v>1147490.4243999999</v>
      </c>
      <c r="H400" s="426">
        <f t="shared" si="129"/>
        <v>975500.72200000007</v>
      </c>
      <c r="I400" s="426">
        <f t="shared" si="129"/>
        <v>1245373.9676700002</v>
      </c>
      <c r="J400" s="426">
        <f t="shared" si="129"/>
        <v>1604911.2572399999</v>
      </c>
      <c r="K400" s="426">
        <f t="shared" si="129"/>
        <v>1700635.8636399999</v>
      </c>
      <c r="L400" s="2651">
        <f t="shared" si="129"/>
        <v>1928509.0506400005</v>
      </c>
      <c r="M400" s="3168"/>
      <c r="N400" s="3168"/>
      <c r="O400" s="3168"/>
      <c r="P400" s="3168"/>
      <c r="Q400" s="2614">
        <f t="shared" si="129"/>
        <v>0</v>
      </c>
      <c r="R400" s="426">
        <f t="shared" si="129"/>
        <v>0</v>
      </c>
      <c r="S400" s="426">
        <f t="shared" si="129"/>
        <v>0</v>
      </c>
      <c r="T400" s="1029">
        <f t="shared" si="129"/>
        <v>0</v>
      </c>
      <c r="U400" s="2422"/>
      <c r="V400" s="2684"/>
      <c r="W400" s="116"/>
    </row>
    <row r="401" spans="1:23">
      <c r="A401" s="538" t="s">
        <v>105</v>
      </c>
      <c r="B401" s="1" t="s">
        <v>254</v>
      </c>
      <c r="C401" s="92" t="s">
        <v>11</v>
      </c>
      <c r="D401" s="416">
        <f>(D377+D395)/2</f>
        <v>137599.68003839999</v>
      </c>
      <c r="E401" s="416">
        <f t="shared" ref="E401:L401" si="130">(E377+E395)/2</f>
        <v>131834.40000000002</v>
      </c>
      <c r="F401" s="416">
        <f t="shared" si="130"/>
        <v>234800.60244480002</v>
      </c>
      <c r="G401" s="416">
        <f t="shared" si="130"/>
        <v>204581.81420000002</v>
      </c>
      <c r="H401" s="416">
        <f t="shared" ref="H401:I401" si="131">(H377+H395)/2</f>
        <v>144326.38500000001</v>
      </c>
      <c r="I401" s="416">
        <f t="shared" si="131"/>
        <v>144326.38500000001</v>
      </c>
      <c r="J401" s="416">
        <f t="shared" si="130"/>
        <v>144144.98490000001</v>
      </c>
      <c r="K401" s="416">
        <f t="shared" si="130"/>
        <v>143780.37240000002</v>
      </c>
      <c r="L401" s="415">
        <f t="shared" si="130"/>
        <v>308788.22850000008</v>
      </c>
      <c r="M401" s="1485"/>
      <c r="N401" s="1485"/>
      <c r="O401" s="1485"/>
      <c r="P401" s="1485"/>
      <c r="Q401" s="1604">
        <f t="shared" ref="Q401:R401" si="132">Q377*0.912</f>
        <v>0</v>
      </c>
      <c r="R401" s="1030">
        <f t="shared" si="132"/>
        <v>0</v>
      </c>
      <c r="S401" s="1034"/>
      <c r="T401" s="1030"/>
      <c r="U401" s="1290"/>
      <c r="V401" s="2684"/>
      <c r="W401" s="116"/>
    </row>
    <row r="402" spans="1:23" ht="30">
      <c r="A402" s="538" t="s">
        <v>270</v>
      </c>
      <c r="B402" s="60" t="s">
        <v>256</v>
      </c>
      <c r="C402" s="92" t="s">
        <v>11</v>
      </c>
      <c r="D402" s="416">
        <f t="shared" ref="D402:L405" si="133">(D378+D396)/2</f>
        <v>683313.28480640007</v>
      </c>
      <c r="E402" s="416">
        <f t="shared" si="133"/>
        <v>690643.9</v>
      </c>
      <c r="F402" s="416">
        <f t="shared" si="133"/>
        <v>848823.65076480014</v>
      </c>
      <c r="G402" s="416">
        <f t="shared" si="133"/>
        <v>807713.99560000002</v>
      </c>
      <c r="H402" s="416">
        <f t="shared" ref="H402:I402" si="134">(H378+H396)/2</f>
        <v>708281.18</v>
      </c>
      <c r="I402" s="416">
        <f t="shared" si="134"/>
        <v>952860.11</v>
      </c>
      <c r="J402" s="416">
        <f t="shared" si="133"/>
        <v>1237463.4057</v>
      </c>
      <c r="K402" s="416">
        <f t="shared" si="133"/>
        <v>1283859.8352999999</v>
      </c>
      <c r="L402" s="415">
        <f t="shared" si="133"/>
        <v>1296659.3938000002</v>
      </c>
      <c r="M402" s="1485"/>
      <c r="N402" s="1485"/>
      <c r="O402" s="1485"/>
      <c r="P402" s="1485"/>
      <c r="Q402" s="1604">
        <f t="shared" ref="Q402:R404" si="135">Q378*0.912</f>
        <v>0</v>
      </c>
      <c r="R402" s="1030">
        <f t="shared" si="135"/>
        <v>0</v>
      </c>
      <c r="S402" s="1034"/>
      <c r="T402" s="1030"/>
      <c r="U402" s="1290"/>
      <c r="V402" s="2684"/>
      <c r="W402" s="116"/>
    </row>
    <row r="403" spans="1:23">
      <c r="A403" s="538" t="s">
        <v>271</v>
      </c>
      <c r="B403" s="1" t="s">
        <v>257</v>
      </c>
      <c r="C403" s="92" t="s">
        <v>11</v>
      </c>
      <c r="D403" s="416">
        <f t="shared" si="133"/>
        <v>66743.776883200015</v>
      </c>
      <c r="E403" s="416">
        <f t="shared" si="133"/>
        <v>21774.953999999998</v>
      </c>
      <c r="F403" s="416">
        <f t="shared" si="133"/>
        <v>86143.976217600022</v>
      </c>
      <c r="G403" s="416">
        <f t="shared" si="133"/>
        <v>28408.408600000002</v>
      </c>
      <c r="H403" s="416">
        <f t="shared" ref="H403:I403" si="136">(H379+H397)/2</f>
        <v>21413.086499999998</v>
      </c>
      <c r="I403" s="416">
        <f t="shared" si="136"/>
        <v>21564.911565000002</v>
      </c>
      <c r="J403" s="416">
        <f t="shared" si="133"/>
        <v>22018.792230000003</v>
      </c>
      <c r="K403" s="416">
        <f t="shared" si="133"/>
        <v>22323.848730000005</v>
      </c>
      <c r="L403" s="415">
        <f t="shared" si="133"/>
        <v>22508.012430000006</v>
      </c>
      <c r="M403" s="1485"/>
      <c r="N403" s="1485"/>
      <c r="O403" s="1485"/>
      <c r="P403" s="1485"/>
      <c r="Q403" s="1604">
        <f t="shared" si="135"/>
        <v>0</v>
      </c>
      <c r="R403" s="1030">
        <f t="shared" si="135"/>
        <v>0</v>
      </c>
      <c r="S403" s="1034"/>
      <c r="T403" s="1030"/>
      <c r="U403" s="1290"/>
      <c r="V403" s="2684"/>
      <c r="W403" s="116"/>
    </row>
    <row r="404" spans="1:23">
      <c r="A404" s="538" t="s">
        <v>272</v>
      </c>
      <c r="B404" s="1" t="s">
        <v>258</v>
      </c>
      <c r="C404" s="92" t="s">
        <v>11</v>
      </c>
      <c r="D404" s="416">
        <f t="shared" si="133"/>
        <v>34332.894214400003</v>
      </c>
      <c r="E404" s="416">
        <f t="shared" si="133"/>
        <v>38266</v>
      </c>
      <c r="F404" s="416">
        <f t="shared" si="133"/>
        <v>48318.320179200004</v>
      </c>
      <c r="G404" s="416">
        <f t="shared" si="133"/>
        <v>106772.55080000001</v>
      </c>
      <c r="H404" s="416">
        <f t="shared" ref="H404:I404" si="137">(H380+H398)/2</f>
        <v>101480.0705</v>
      </c>
      <c r="I404" s="416">
        <f t="shared" si="137"/>
        <v>126677.561105</v>
      </c>
      <c r="J404" s="416">
        <f t="shared" si="133"/>
        <v>201370.19951000001</v>
      </c>
      <c r="K404" s="416">
        <f t="shared" si="133"/>
        <v>250709.94520999998</v>
      </c>
      <c r="L404" s="415">
        <f t="shared" si="133"/>
        <v>300543.08800999995</v>
      </c>
      <c r="M404" s="1485"/>
      <c r="N404" s="1485"/>
      <c r="O404" s="1485"/>
      <c r="P404" s="1485"/>
      <c r="Q404" s="1604">
        <f t="shared" si="135"/>
        <v>0</v>
      </c>
      <c r="R404" s="1030">
        <f t="shared" si="135"/>
        <v>0</v>
      </c>
      <c r="S404" s="1034"/>
      <c r="T404" s="1030"/>
      <c r="U404" s="1290"/>
      <c r="V404" s="2684"/>
      <c r="W404" s="116"/>
    </row>
    <row r="405" spans="1:23">
      <c r="A405" s="538" t="s">
        <v>273</v>
      </c>
      <c r="B405" s="1" t="s">
        <v>259</v>
      </c>
      <c r="C405" s="92" t="s">
        <v>11</v>
      </c>
      <c r="D405" s="416">
        <f t="shared" si="133"/>
        <v>19.896191999999996</v>
      </c>
      <c r="E405" s="416">
        <f t="shared" si="133"/>
        <v>13.519999999999996</v>
      </c>
      <c r="F405" s="416">
        <f t="shared" si="133"/>
        <v>80.448307199999988</v>
      </c>
      <c r="G405" s="416">
        <f t="shared" si="133"/>
        <v>13.655200000000001</v>
      </c>
      <c r="H405" s="416">
        <f t="shared" ref="H405:I405" si="138">(H381+H399)/2</f>
        <v>0</v>
      </c>
      <c r="I405" s="416">
        <f t="shared" si="138"/>
        <v>-55</v>
      </c>
      <c r="J405" s="416">
        <f t="shared" si="133"/>
        <v>-86.125100000000003</v>
      </c>
      <c r="K405" s="416">
        <f t="shared" si="133"/>
        <v>-38.138000000000005</v>
      </c>
      <c r="L405" s="415">
        <f t="shared" si="133"/>
        <v>10.327899999999993</v>
      </c>
      <c r="M405" s="1485"/>
      <c r="N405" s="1485"/>
      <c r="O405" s="1485"/>
      <c r="P405" s="1485"/>
      <c r="Q405" s="1604"/>
      <c r="R405" s="1030"/>
      <c r="S405" s="1034"/>
      <c r="T405" s="1030"/>
      <c r="U405" s="1290"/>
      <c r="V405" s="2684"/>
      <c r="W405" s="116"/>
    </row>
    <row r="406" spans="1:23" ht="45" hidden="1">
      <c r="A406" s="1064">
        <v>6</v>
      </c>
      <c r="B406" s="72" t="s">
        <v>274</v>
      </c>
      <c r="C406" s="85" t="s">
        <v>280</v>
      </c>
      <c r="D406" s="426">
        <v>401.72999999999996</v>
      </c>
      <c r="E406" s="426">
        <f t="shared" ref="E406:T406" si="139">SUM(E407:E411)</f>
        <v>398.06</v>
      </c>
      <c r="F406" s="426">
        <f t="shared" si="139"/>
        <v>401.72999999999996</v>
      </c>
      <c r="G406" s="426">
        <f t="shared" si="139"/>
        <v>402.05</v>
      </c>
      <c r="H406" s="426">
        <f t="shared" si="139"/>
        <v>411.47</v>
      </c>
      <c r="I406" s="426">
        <f t="shared" si="139"/>
        <v>411.47</v>
      </c>
      <c r="J406" s="426">
        <f t="shared" si="139"/>
        <v>415.57000000000005</v>
      </c>
      <c r="K406" s="426">
        <f t="shared" si="139"/>
        <v>419.75</v>
      </c>
      <c r="L406" s="2651">
        <f t="shared" si="139"/>
        <v>423.94</v>
      </c>
      <c r="M406" s="3168"/>
      <c r="N406" s="3168"/>
      <c r="O406" s="3168"/>
      <c r="P406" s="3168"/>
      <c r="Q406" s="2614">
        <f t="shared" si="139"/>
        <v>0</v>
      </c>
      <c r="R406" s="1029">
        <f t="shared" si="139"/>
        <v>0</v>
      </c>
      <c r="S406" s="1035">
        <f t="shared" si="139"/>
        <v>0</v>
      </c>
      <c r="T406" s="1029">
        <f t="shared" si="139"/>
        <v>0</v>
      </c>
      <c r="U406" s="2422"/>
      <c r="V406" s="2684"/>
      <c r="W406" s="116"/>
    </row>
    <row r="407" spans="1:23" hidden="1">
      <c r="A407" s="521" t="s">
        <v>108</v>
      </c>
      <c r="B407" s="1" t="s">
        <v>254</v>
      </c>
      <c r="C407" s="92" t="s">
        <v>280</v>
      </c>
      <c r="D407" s="438">
        <v>62.82</v>
      </c>
      <c r="E407" s="438">
        <v>60.93</v>
      </c>
      <c r="F407" s="438">
        <v>62.82</v>
      </c>
      <c r="G407" s="438">
        <v>61.54</v>
      </c>
      <c r="H407" s="438">
        <v>63.06</v>
      </c>
      <c r="I407" s="438">
        <v>63.06</v>
      </c>
      <c r="J407" s="438">
        <v>63.69</v>
      </c>
      <c r="K407" s="438">
        <v>64.33</v>
      </c>
      <c r="L407" s="2673">
        <v>64.97</v>
      </c>
      <c r="M407" s="1489"/>
      <c r="N407" s="1489"/>
      <c r="O407" s="1489"/>
      <c r="P407" s="1489"/>
      <c r="Q407" s="2986"/>
      <c r="R407" s="507"/>
      <c r="S407" s="502"/>
      <c r="T407" s="507"/>
      <c r="U407" s="2981"/>
      <c r="V407" s="2684"/>
      <c r="W407" s="116"/>
    </row>
    <row r="408" spans="1:23" ht="30" hidden="1">
      <c r="A408" s="521" t="s">
        <v>110</v>
      </c>
      <c r="B408" s="60" t="s">
        <v>256</v>
      </c>
      <c r="C408" s="92" t="s">
        <v>280</v>
      </c>
      <c r="D408" s="438">
        <v>74.81</v>
      </c>
      <c r="E408" s="438">
        <v>75.56</v>
      </c>
      <c r="F408" s="438">
        <v>74.81</v>
      </c>
      <c r="G408" s="438">
        <v>76.319999999999993</v>
      </c>
      <c r="H408" s="438">
        <v>75.040000000000006</v>
      </c>
      <c r="I408" s="438">
        <v>75.040000000000006</v>
      </c>
      <c r="J408" s="438">
        <v>75.790000000000006</v>
      </c>
      <c r="K408" s="438">
        <v>76.55</v>
      </c>
      <c r="L408" s="2673">
        <v>77.319999999999993</v>
      </c>
      <c r="M408" s="1489"/>
      <c r="N408" s="1489"/>
      <c r="O408" s="1489"/>
      <c r="P408" s="1489"/>
      <c r="Q408" s="2986"/>
      <c r="R408" s="507"/>
      <c r="S408" s="502"/>
      <c r="T408" s="507"/>
      <c r="U408" s="2981"/>
      <c r="V408" s="2684"/>
      <c r="W408" s="116"/>
    </row>
    <row r="409" spans="1:23" hidden="1">
      <c r="A409" s="521" t="s">
        <v>112</v>
      </c>
      <c r="B409" s="1" t="s">
        <v>257</v>
      </c>
      <c r="C409" s="92" t="s">
        <v>280</v>
      </c>
      <c r="D409" s="438">
        <v>89.64</v>
      </c>
      <c r="E409" s="438">
        <v>89.33</v>
      </c>
      <c r="F409" s="438">
        <v>89.64</v>
      </c>
      <c r="G409" s="438">
        <v>90.22</v>
      </c>
      <c r="H409" s="438">
        <v>94.67</v>
      </c>
      <c r="I409" s="438">
        <v>94.67</v>
      </c>
      <c r="J409" s="438">
        <v>95.61</v>
      </c>
      <c r="K409" s="438">
        <v>96.57</v>
      </c>
      <c r="L409" s="2673">
        <v>97.53</v>
      </c>
      <c r="M409" s="1489"/>
      <c r="N409" s="1489"/>
      <c r="O409" s="1489"/>
      <c r="P409" s="1489"/>
      <c r="Q409" s="2986"/>
      <c r="R409" s="507"/>
      <c r="S409" s="502"/>
      <c r="T409" s="507"/>
      <c r="U409" s="2981"/>
      <c r="V409" s="2684"/>
      <c r="W409" s="116"/>
    </row>
    <row r="410" spans="1:23" hidden="1">
      <c r="A410" s="521" t="s">
        <v>114</v>
      </c>
      <c r="B410" s="1" t="s">
        <v>258</v>
      </c>
      <c r="C410" s="92" t="s">
        <v>280</v>
      </c>
      <c r="D410" s="438">
        <v>79.760000000000005</v>
      </c>
      <c r="E410" s="438">
        <v>78.61</v>
      </c>
      <c r="F410" s="438">
        <v>79.760000000000005</v>
      </c>
      <c r="G410" s="438">
        <v>79.400000000000006</v>
      </c>
      <c r="H410" s="438">
        <v>82.38</v>
      </c>
      <c r="I410" s="438">
        <v>82.38</v>
      </c>
      <c r="J410" s="438">
        <v>83.2</v>
      </c>
      <c r="K410" s="438">
        <v>84.04</v>
      </c>
      <c r="L410" s="2673">
        <v>84.88</v>
      </c>
      <c r="M410" s="1489"/>
      <c r="N410" s="1489"/>
      <c r="O410" s="1489"/>
      <c r="P410" s="1489"/>
      <c r="Q410" s="2986"/>
      <c r="R410" s="507"/>
      <c r="S410" s="502"/>
      <c r="T410" s="507"/>
      <c r="U410" s="2981"/>
      <c r="V410" s="2684"/>
      <c r="W410" s="116"/>
    </row>
    <row r="411" spans="1:23" hidden="1">
      <c r="A411" s="521" t="s">
        <v>275</v>
      </c>
      <c r="B411" s="1" t="s">
        <v>259</v>
      </c>
      <c r="C411" s="92" t="s">
        <v>280</v>
      </c>
      <c r="D411" s="438">
        <v>94.7</v>
      </c>
      <c r="E411" s="438">
        <v>93.63</v>
      </c>
      <c r="F411" s="438">
        <v>94.7</v>
      </c>
      <c r="G411" s="438">
        <v>94.57</v>
      </c>
      <c r="H411" s="438">
        <v>96.32</v>
      </c>
      <c r="I411" s="438">
        <v>96.32</v>
      </c>
      <c r="J411" s="438">
        <v>97.28</v>
      </c>
      <c r="K411" s="438">
        <v>98.26</v>
      </c>
      <c r="L411" s="2673">
        <v>99.24</v>
      </c>
      <c r="M411" s="1489"/>
      <c r="N411" s="1489"/>
      <c r="O411" s="1489"/>
      <c r="P411" s="1489"/>
      <c r="Q411" s="2986"/>
      <c r="R411" s="507"/>
      <c r="S411" s="502"/>
      <c r="T411" s="507"/>
      <c r="U411" s="2981"/>
      <c r="V411" s="2684"/>
      <c r="W411" s="116"/>
    </row>
    <row r="412" spans="1:23" ht="30">
      <c r="A412" s="536" t="s">
        <v>276</v>
      </c>
      <c r="B412" s="72" t="s">
        <v>277</v>
      </c>
      <c r="C412" s="85" t="s">
        <v>11</v>
      </c>
      <c r="D412" s="501">
        <f>SUM(D413:D417)</f>
        <v>29191.799999999996</v>
      </c>
      <c r="E412" s="501">
        <f>SUM(E413:E417)</f>
        <v>37547.875999999997</v>
      </c>
      <c r="F412" s="501">
        <f t="shared" ref="F412:L412" si="140">SUM(F413:F417)</f>
        <v>29290</v>
      </c>
      <c r="G412" s="501">
        <f t="shared" si="140"/>
        <v>67105.689409999992</v>
      </c>
      <c r="H412" s="501">
        <f t="shared" si="140"/>
        <v>21049.620000000003</v>
      </c>
      <c r="I412" s="501">
        <f t="shared" si="140"/>
        <v>40609.705500000004</v>
      </c>
      <c r="J412" s="501">
        <f t="shared" si="140"/>
        <v>46479.111375</v>
      </c>
      <c r="K412" s="501">
        <f t="shared" si="140"/>
        <v>75221.297994999986</v>
      </c>
      <c r="L412" s="2977">
        <f t="shared" si="140"/>
        <v>124616.72162999999</v>
      </c>
      <c r="M412" s="3186"/>
      <c r="N412" s="3186"/>
      <c r="O412" s="3186"/>
      <c r="P412" s="3186"/>
      <c r="Q412" s="2987">
        <f t="shared" ref="Q412:T412" si="141">SUM(Q413:Q417)</f>
        <v>43479.113069999999</v>
      </c>
      <c r="R412" s="2987">
        <f t="shared" si="141"/>
        <v>61517.921130000002</v>
      </c>
      <c r="S412" s="2987">
        <f t="shared" si="141"/>
        <v>86825.227574999997</v>
      </c>
      <c r="T412" s="1074">
        <f t="shared" si="141"/>
        <v>0</v>
      </c>
      <c r="U412" s="2974"/>
      <c r="V412" s="2686"/>
      <c r="W412" s="3007"/>
    </row>
    <row r="413" spans="1:23">
      <c r="A413" s="521" t="s">
        <v>278</v>
      </c>
      <c r="B413" s="1" t="s">
        <v>254</v>
      </c>
      <c r="C413" s="92" t="s">
        <v>11</v>
      </c>
      <c r="D413" s="438">
        <v>3028.9559999999997</v>
      </c>
      <c r="E413" s="438">
        <v>4603.3630000000003</v>
      </c>
      <c r="F413" s="438"/>
      <c r="G413" s="438">
        <f>16347.35*0.437</f>
        <v>7143.7919499999998</v>
      </c>
      <c r="H413" s="438">
        <v>2105.86</v>
      </c>
      <c r="I413" s="438">
        <f>H413+H413*1.01</f>
        <v>4232.7785999999996</v>
      </c>
      <c r="J413" s="438">
        <f>12139.97*0.42*0.85</f>
        <v>4333.9692899999991</v>
      </c>
      <c r="K413" s="438">
        <f>19381.92*0.42*0.85</f>
        <v>6919.3454399999991</v>
      </c>
      <c r="L413" s="2673">
        <f>72895.2*0.85*0.47</f>
        <v>29121.632399999999</v>
      </c>
      <c r="M413" s="1489"/>
      <c r="N413" s="1489"/>
      <c r="O413" s="1489"/>
      <c r="P413" s="1489"/>
      <c r="Q413" s="2986">
        <f>J413</f>
        <v>4333.9692899999991</v>
      </c>
      <c r="R413" s="2986">
        <f t="shared" ref="R413" si="142">K413</f>
        <v>6919.3454399999991</v>
      </c>
      <c r="S413" s="2986">
        <f>R413*1.2</f>
        <v>8303.2145279999986</v>
      </c>
      <c r="T413" s="507"/>
      <c r="U413" s="2981"/>
      <c r="V413" s="2684"/>
      <c r="W413" s="116"/>
    </row>
    <row r="414" spans="1:23" ht="30">
      <c r="A414" s="521" t="s">
        <v>118</v>
      </c>
      <c r="B414" s="60" t="s">
        <v>256</v>
      </c>
      <c r="C414" s="92" t="s">
        <v>11</v>
      </c>
      <c r="D414" s="438">
        <v>23133.887999999999</v>
      </c>
      <c r="E414" s="438">
        <f>27205.153</f>
        <v>27205.152999999998</v>
      </c>
      <c r="F414" s="438">
        <v>29290</v>
      </c>
      <c r="G414" s="3089">
        <f>110356.68*0.437</f>
        <v>48225.869159999995</v>
      </c>
      <c r="H414" s="3089">
        <v>10958.62</v>
      </c>
      <c r="I414" s="3089">
        <f t="shared" ref="I414:I417" si="143">H414+H414*1.01</f>
        <v>22026.826200000003</v>
      </c>
      <c r="J414" s="3089">
        <f>86055.39*0.47*0.85</f>
        <v>34379.128304999998</v>
      </c>
      <c r="K414" s="3089">
        <f>151334.87*0.47*0.85</f>
        <v>60458.280564999994</v>
      </c>
      <c r="L414" s="3089">
        <f>219206.46*0.47*0.85</f>
        <v>87572.98076999998</v>
      </c>
      <c r="M414" s="3092"/>
      <c r="N414" s="3092"/>
      <c r="O414" s="3092"/>
      <c r="P414" s="3092"/>
      <c r="Q414" s="3090">
        <v>31379.13</v>
      </c>
      <c r="R414" s="3091">
        <f>Q414*1.49</f>
        <v>46754.903700000003</v>
      </c>
      <c r="S414" s="3092">
        <f>R414*1.51</f>
        <v>70599.904586999997</v>
      </c>
      <c r="T414" s="1030"/>
      <c r="U414" s="1290"/>
      <c r="V414" s="2684"/>
      <c r="W414" s="116"/>
    </row>
    <row r="415" spans="1:23">
      <c r="A415" s="521" t="s">
        <v>120</v>
      </c>
      <c r="B415" s="1" t="s">
        <v>257</v>
      </c>
      <c r="C415" s="92" t="s">
        <v>11</v>
      </c>
      <c r="D415" s="438">
        <v>2019.3040000000001</v>
      </c>
      <c r="E415" s="438">
        <v>1975.489</v>
      </c>
      <c r="F415" s="438"/>
      <c r="G415" s="416">
        <f>11222.11*0.437</f>
        <v>4904.0620699999999</v>
      </c>
      <c r="H415" s="416">
        <v>2463.09</v>
      </c>
      <c r="I415" s="438">
        <f t="shared" si="143"/>
        <v>4950.8109000000004</v>
      </c>
      <c r="J415" s="416">
        <f>6761.25*0.42*0.85</f>
        <v>2413.7662499999997</v>
      </c>
      <c r="K415" s="416">
        <f>6828.86*0.42*0.85</f>
        <v>2437.9030199999997</v>
      </c>
      <c r="L415" s="2673">
        <f>6897.15*0.42*0.85</f>
        <v>2462.2825499999999</v>
      </c>
      <c r="M415" s="1489"/>
      <c r="N415" s="1489"/>
      <c r="O415" s="1489"/>
      <c r="P415" s="1489"/>
      <c r="Q415" s="1604">
        <f t="shared" ref="Q415:S417" si="144">J415</f>
        <v>2413.7662499999997</v>
      </c>
      <c r="R415" s="1604">
        <f t="shared" si="144"/>
        <v>2437.9030199999997</v>
      </c>
      <c r="S415" s="1604">
        <f t="shared" si="144"/>
        <v>2462.2825499999999</v>
      </c>
      <c r="T415" s="1030"/>
      <c r="U415" s="1290"/>
      <c r="V415" s="2684"/>
      <c r="W415" s="116"/>
    </row>
    <row r="416" spans="1:23">
      <c r="A416" s="521" t="s">
        <v>122</v>
      </c>
      <c r="B416" s="1" t="s">
        <v>258</v>
      </c>
      <c r="C416" s="92" t="s">
        <v>11</v>
      </c>
      <c r="D416" s="438">
        <v>1009.652</v>
      </c>
      <c r="E416" s="438">
        <v>3763.8710000000001</v>
      </c>
      <c r="F416" s="438"/>
      <c r="G416" s="416">
        <f>15481.28*0.437</f>
        <v>6765.3193600000004</v>
      </c>
      <c r="H416" s="416">
        <v>5483.97</v>
      </c>
      <c r="I416" s="438">
        <f>H416+H416*0.7</f>
        <v>9322.7489999999998</v>
      </c>
      <c r="J416" s="416">
        <f>14883.68*0.42*0.85</f>
        <v>5313.4737599999999</v>
      </c>
      <c r="K416" s="416">
        <f>15032.51*0.42*0.85</f>
        <v>5366.6060699999998</v>
      </c>
      <c r="L416" s="2673">
        <f>15182.84*0.42*0.85</f>
        <v>5420.2738799999997</v>
      </c>
      <c r="M416" s="1489"/>
      <c r="N416" s="1489"/>
      <c r="O416" s="1489"/>
      <c r="P416" s="1489"/>
      <c r="Q416" s="1604">
        <f t="shared" si="144"/>
        <v>5313.4737599999999</v>
      </c>
      <c r="R416" s="1604">
        <f t="shared" si="144"/>
        <v>5366.6060699999998</v>
      </c>
      <c r="S416" s="1604">
        <f t="shared" si="144"/>
        <v>5420.2738799999997</v>
      </c>
      <c r="T416" s="1030"/>
      <c r="U416" s="1290"/>
      <c r="V416" s="2684"/>
      <c r="W416" s="116"/>
    </row>
    <row r="417" spans="1:23" ht="15.75" thickBot="1">
      <c r="A417" s="521" t="s">
        <v>124</v>
      </c>
      <c r="B417" s="1" t="s">
        <v>259</v>
      </c>
      <c r="C417" s="92" t="s">
        <v>11</v>
      </c>
      <c r="D417" s="438"/>
      <c r="E417" s="438"/>
      <c r="F417" s="416"/>
      <c r="G417" s="416">
        <f>152.51*0.437</f>
        <v>66.646869999999993</v>
      </c>
      <c r="H417" s="416">
        <f>19.04+19.04</f>
        <v>38.08</v>
      </c>
      <c r="I417" s="438">
        <f t="shared" si="143"/>
        <v>76.54079999999999</v>
      </c>
      <c r="J417" s="416">
        <f>108.61*0.42*0.85</f>
        <v>38.773769999999999</v>
      </c>
      <c r="K417" s="416">
        <f>109.7*0.42*0.85</f>
        <v>39.1629</v>
      </c>
      <c r="L417" s="415">
        <f>110.79*0.42*0.85</f>
        <v>39.552030000000002</v>
      </c>
      <c r="M417" s="1485"/>
      <c r="N417" s="1485"/>
      <c r="O417" s="1485"/>
      <c r="P417" s="1485"/>
      <c r="Q417" s="1604">
        <f t="shared" si="144"/>
        <v>38.773769999999999</v>
      </c>
      <c r="R417" s="1604">
        <f t="shared" si="144"/>
        <v>39.1629</v>
      </c>
      <c r="S417" s="1604">
        <f t="shared" si="144"/>
        <v>39.552030000000002</v>
      </c>
      <c r="T417" s="1030"/>
      <c r="U417" s="1290"/>
      <c r="V417" s="2684"/>
      <c r="W417" s="116"/>
    </row>
    <row r="418" spans="1:23" hidden="1">
      <c r="A418" s="1083" t="s">
        <v>130</v>
      </c>
      <c r="B418" s="72" t="s">
        <v>279</v>
      </c>
      <c r="C418" s="85"/>
      <c r="D418" s="426">
        <v>0</v>
      </c>
      <c r="E418" s="426">
        <f t="shared" ref="E418:R418" si="145">SUM(E419:E423)</f>
        <v>0</v>
      </c>
      <c r="F418" s="426">
        <f t="shared" si="145"/>
        <v>0</v>
      </c>
      <c r="G418" s="426">
        <f t="shared" si="145"/>
        <v>0</v>
      </c>
      <c r="H418" s="426">
        <f t="shared" si="145"/>
        <v>0</v>
      </c>
      <c r="I418" s="426">
        <f t="shared" si="145"/>
        <v>0</v>
      </c>
      <c r="J418" s="426">
        <f t="shared" si="145"/>
        <v>0</v>
      </c>
      <c r="K418" s="426">
        <f t="shared" si="145"/>
        <v>0</v>
      </c>
      <c r="L418" s="2651">
        <f t="shared" si="145"/>
        <v>0</v>
      </c>
      <c r="M418" s="3168"/>
      <c r="N418" s="3168"/>
      <c r="O418" s="3168"/>
      <c r="P418" s="3168"/>
      <c r="Q418" s="2614">
        <f t="shared" si="145"/>
        <v>0</v>
      </c>
      <c r="R418" s="1029">
        <f t="shared" si="145"/>
        <v>0</v>
      </c>
      <c r="S418" s="1035"/>
      <c r="T418" s="1029"/>
      <c r="U418" s="2422"/>
      <c r="V418" s="2684"/>
      <c r="W418" s="116"/>
    </row>
    <row r="419" spans="1:23" hidden="1">
      <c r="A419" s="1084" t="s">
        <v>132</v>
      </c>
      <c r="B419" s="1" t="s">
        <v>254</v>
      </c>
      <c r="C419" s="92" t="s">
        <v>11</v>
      </c>
      <c r="D419" s="416">
        <v>0</v>
      </c>
      <c r="E419" s="416">
        <v>0</v>
      </c>
      <c r="F419" s="416">
        <v>0</v>
      </c>
      <c r="G419" s="416">
        <v>0</v>
      </c>
      <c r="H419" s="416">
        <v>0</v>
      </c>
      <c r="I419" s="416">
        <v>0</v>
      </c>
      <c r="J419" s="416">
        <v>0</v>
      </c>
      <c r="K419" s="416">
        <v>0</v>
      </c>
      <c r="L419" s="415">
        <v>0</v>
      </c>
      <c r="M419" s="1485"/>
      <c r="N419" s="1485"/>
      <c r="O419" s="1485"/>
      <c r="P419" s="1485"/>
      <c r="Q419" s="1604">
        <v>0</v>
      </c>
      <c r="R419" s="1030">
        <v>0</v>
      </c>
      <c r="S419" s="1034"/>
      <c r="T419" s="1030"/>
      <c r="U419" s="1290"/>
      <c r="V419" s="2684"/>
      <c r="W419" s="116"/>
    </row>
    <row r="420" spans="1:23" ht="30" hidden="1">
      <c r="A420" s="1084" t="s">
        <v>134</v>
      </c>
      <c r="B420" s="60" t="s">
        <v>256</v>
      </c>
      <c r="C420" s="92" t="s">
        <v>11</v>
      </c>
      <c r="D420" s="416">
        <v>0</v>
      </c>
      <c r="E420" s="416">
        <v>0</v>
      </c>
      <c r="F420" s="416">
        <v>0</v>
      </c>
      <c r="G420" s="416">
        <v>0</v>
      </c>
      <c r="H420" s="416">
        <v>0</v>
      </c>
      <c r="I420" s="416">
        <v>0</v>
      </c>
      <c r="J420" s="416">
        <v>0</v>
      </c>
      <c r="K420" s="416">
        <v>0</v>
      </c>
      <c r="L420" s="415">
        <v>0</v>
      </c>
      <c r="M420" s="1485"/>
      <c r="N420" s="1485"/>
      <c r="O420" s="1485"/>
      <c r="P420" s="1485"/>
      <c r="Q420" s="1604">
        <v>0</v>
      </c>
      <c r="R420" s="1030">
        <v>0</v>
      </c>
      <c r="S420" s="1034"/>
      <c r="T420" s="1030"/>
      <c r="U420" s="1290"/>
      <c r="V420" s="2684"/>
      <c r="W420" s="116"/>
    </row>
    <row r="421" spans="1:23" hidden="1">
      <c r="A421" s="1084" t="s">
        <v>135</v>
      </c>
      <c r="B421" s="1" t="s">
        <v>257</v>
      </c>
      <c r="C421" s="92" t="s">
        <v>11</v>
      </c>
      <c r="D421" s="416">
        <v>0</v>
      </c>
      <c r="E421" s="416">
        <v>0</v>
      </c>
      <c r="F421" s="416">
        <v>0</v>
      </c>
      <c r="G421" s="416">
        <v>0</v>
      </c>
      <c r="H421" s="416">
        <v>0</v>
      </c>
      <c r="I421" s="416">
        <v>0</v>
      </c>
      <c r="J421" s="416">
        <v>0</v>
      </c>
      <c r="K421" s="416">
        <v>0</v>
      </c>
      <c r="L421" s="415">
        <v>0</v>
      </c>
      <c r="M421" s="1485"/>
      <c r="N421" s="1485"/>
      <c r="O421" s="1485"/>
      <c r="P421" s="1485"/>
      <c r="Q421" s="1604">
        <v>0</v>
      </c>
      <c r="R421" s="1030">
        <v>0</v>
      </c>
      <c r="S421" s="1034"/>
      <c r="T421" s="1030"/>
      <c r="U421" s="1290"/>
      <c r="V421" s="2684"/>
      <c r="W421" s="116"/>
    </row>
    <row r="422" spans="1:23" hidden="1">
      <c r="A422" s="1084" t="s">
        <v>138</v>
      </c>
      <c r="B422" s="1" t="s">
        <v>258</v>
      </c>
      <c r="C422" s="92" t="s">
        <v>11</v>
      </c>
      <c r="D422" s="416">
        <v>0</v>
      </c>
      <c r="E422" s="416">
        <v>0</v>
      </c>
      <c r="F422" s="416">
        <v>0</v>
      </c>
      <c r="G422" s="416">
        <v>0</v>
      </c>
      <c r="H422" s="416">
        <v>0</v>
      </c>
      <c r="I422" s="416">
        <v>0</v>
      </c>
      <c r="J422" s="416">
        <v>0</v>
      </c>
      <c r="K422" s="416">
        <v>0</v>
      </c>
      <c r="L422" s="415">
        <v>0</v>
      </c>
      <c r="M422" s="1485"/>
      <c r="N422" s="1485"/>
      <c r="O422" s="1485"/>
      <c r="P422" s="1485"/>
      <c r="Q422" s="1604">
        <v>0</v>
      </c>
      <c r="R422" s="1030">
        <v>0</v>
      </c>
      <c r="S422" s="1034"/>
      <c r="T422" s="1030"/>
      <c r="U422" s="1290"/>
      <c r="V422" s="2684"/>
      <c r="W422" s="116"/>
    </row>
    <row r="423" spans="1:23" ht="15.75" hidden="1" thickBot="1">
      <c r="A423" s="1085" t="s">
        <v>139</v>
      </c>
      <c r="B423" s="27" t="s">
        <v>259</v>
      </c>
      <c r="C423" s="93" t="s">
        <v>11</v>
      </c>
      <c r="D423" s="427">
        <v>0</v>
      </c>
      <c r="E423" s="427">
        <v>0</v>
      </c>
      <c r="F423" s="427">
        <v>0</v>
      </c>
      <c r="G423" s="427">
        <v>0</v>
      </c>
      <c r="H423" s="416">
        <v>0</v>
      </c>
      <c r="I423" s="416">
        <v>0</v>
      </c>
      <c r="J423" s="416">
        <v>0</v>
      </c>
      <c r="K423" s="416">
        <v>0</v>
      </c>
      <c r="L423" s="460">
        <v>0</v>
      </c>
      <c r="M423" s="1487"/>
      <c r="N423" s="1487"/>
      <c r="O423" s="1487"/>
      <c r="P423" s="1487"/>
      <c r="Q423" s="1611">
        <v>0</v>
      </c>
      <c r="R423" s="1032">
        <v>0</v>
      </c>
      <c r="S423" s="1049"/>
      <c r="T423" s="1032"/>
      <c r="U423" s="1290"/>
      <c r="V423" s="2684"/>
      <c r="W423" s="116"/>
    </row>
    <row r="424" spans="1:23" ht="15.75" thickBot="1">
      <c r="A424" s="102"/>
      <c r="B424" s="77" t="s">
        <v>157</v>
      </c>
      <c r="C424" s="77" t="s">
        <v>11</v>
      </c>
      <c r="D424" s="446">
        <v>29191.799999999996</v>
      </c>
      <c r="E424" s="446">
        <f t="shared" ref="E424:R424" si="146">E412</f>
        <v>37547.875999999997</v>
      </c>
      <c r="F424" s="446">
        <f t="shared" si="146"/>
        <v>29290</v>
      </c>
      <c r="G424" s="446">
        <f t="shared" si="146"/>
        <v>67105.689409999992</v>
      </c>
      <c r="H424" s="446">
        <f t="shared" si="146"/>
        <v>21049.620000000003</v>
      </c>
      <c r="I424" s="446">
        <f t="shared" si="146"/>
        <v>40609.705500000004</v>
      </c>
      <c r="J424" s="446">
        <f t="shared" si="146"/>
        <v>46479.111375</v>
      </c>
      <c r="K424" s="446">
        <f t="shared" si="146"/>
        <v>75221.297994999986</v>
      </c>
      <c r="L424" s="3006">
        <f t="shared" si="146"/>
        <v>124616.72162999999</v>
      </c>
      <c r="M424" s="3187"/>
      <c r="N424" s="3187"/>
      <c r="O424" s="3187"/>
      <c r="P424" s="3187"/>
      <c r="Q424" s="3009">
        <f t="shared" si="146"/>
        <v>43479.113069999999</v>
      </c>
      <c r="R424" s="458">
        <f t="shared" si="146"/>
        <v>61517.921130000002</v>
      </c>
      <c r="S424" s="1081">
        <f t="shared" ref="S424:T424" si="147">S412</f>
        <v>86825.227574999997</v>
      </c>
      <c r="T424" s="458">
        <f t="shared" si="147"/>
        <v>0</v>
      </c>
      <c r="U424" s="3008"/>
      <c r="V424" s="2686"/>
      <c r="W424" s="116"/>
    </row>
    <row r="425" spans="1:23">
      <c r="A425" s="100"/>
      <c r="F425" s="1289"/>
      <c r="G425" s="423"/>
      <c r="H425" s="423"/>
      <c r="I425" s="423"/>
      <c r="J425" s="423"/>
      <c r="K425" s="423"/>
      <c r="L425" s="423"/>
      <c r="M425" s="423"/>
      <c r="N425" s="423"/>
      <c r="O425" s="423"/>
      <c r="P425" s="423"/>
      <c r="Q425" s="423">
        <f>Q430-Q424</f>
        <v>26336.415954999997</v>
      </c>
      <c r="R425" s="423">
        <f>R430-R424</f>
        <v>57638.974589999983</v>
      </c>
    </row>
    <row r="426" spans="1:23">
      <c r="A426" s="100"/>
      <c r="D426" s="423"/>
      <c r="E426" s="423"/>
      <c r="F426" s="423"/>
      <c r="G426" s="423"/>
      <c r="H426" s="423"/>
      <c r="I426" s="423"/>
      <c r="J426" s="423"/>
      <c r="K426" s="423"/>
      <c r="L426" s="423"/>
      <c r="M426" s="423"/>
      <c r="N426" s="423"/>
      <c r="O426" s="423"/>
      <c r="P426" s="423"/>
      <c r="Q426" s="423" t="e">
        <f>Q376+'расшифровки ВС_2016'!#REF!</f>
        <v>#REF!</v>
      </c>
      <c r="R426" s="423" t="e">
        <f>R376+'расшифровки ВС_2016'!#REF!</f>
        <v>#REF!</v>
      </c>
      <c r="S426" s="423" t="e">
        <f>S376+'расшифровки ВС_2016'!#REF!</f>
        <v>#REF!</v>
      </c>
      <c r="T426" s="423">
        <f>T376+'расшифровки ВС_2016'!K347</f>
        <v>2870315.1672000005</v>
      </c>
      <c r="U426" s="423">
        <f>U376+'расшифровки ВС_2016'!L347</f>
        <v>4220722.3478000006</v>
      </c>
      <c r="V426" s="423"/>
    </row>
    <row r="427" spans="1:23">
      <c r="A427" s="100"/>
      <c r="D427" s="423"/>
      <c r="E427" s="423"/>
      <c r="F427" s="423"/>
      <c r="G427" s="423"/>
      <c r="H427" s="423"/>
      <c r="I427" s="423"/>
      <c r="J427" s="423"/>
      <c r="K427" s="423"/>
      <c r="L427" s="423"/>
      <c r="M427" s="423"/>
      <c r="N427" s="423"/>
      <c r="O427" s="423"/>
      <c r="P427" s="423"/>
      <c r="Q427" s="423" t="e">
        <f>Q412+'расшифровки ВС_2016'!#REF!</f>
        <v>#REF!</v>
      </c>
      <c r="R427" s="423" t="e">
        <f>R412+'расшифровки ВС_2016'!#REF!</f>
        <v>#REF!</v>
      </c>
      <c r="S427" s="423" t="e">
        <f>S412+'расшифровки ВС_2016'!#REF!</f>
        <v>#REF!</v>
      </c>
      <c r="T427" s="423">
        <f>T412+'расшифровки ВС_2016'!K383</f>
        <v>79551.492860000013</v>
      </c>
      <c r="U427" s="423">
        <f>U412+'расшифровки ВС_2016'!L383</f>
        <v>106360.61016</v>
      </c>
      <c r="V427" s="423"/>
    </row>
    <row r="428" spans="1:23">
      <c r="A428" s="100"/>
      <c r="D428" s="423"/>
      <c r="E428" s="423"/>
      <c r="F428" s="423"/>
      <c r="G428" s="423"/>
      <c r="H428" s="423"/>
      <c r="I428" s="423"/>
      <c r="J428" s="423"/>
      <c r="K428" s="423"/>
      <c r="L428" s="423"/>
      <c r="M428" s="423"/>
      <c r="N428" s="423"/>
      <c r="O428" s="423"/>
      <c r="P428" s="423"/>
      <c r="Q428" s="423"/>
      <c r="R428" s="423"/>
      <c r="S428" s="423"/>
      <c r="T428" s="423"/>
      <c r="U428" s="423"/>
      <c r="V428" s="423"/>
    </row>
    <row r="429" spans="1:23" hidden="1">
      <c r="A429" s="100"/>
      <c r="Q429" t="e">
        <f t="shared" ref="Q429:U429" si="148">Q427/Q428</f>
        <v>#REF!</v>
      </c>
      <c r="R429" t="e">
        <f t="shared" si="148"/>
        <v>#REF!</v>
      </c>
      <c r="S429" t="e">
        <f t="shared" si="148"/>
        <v>#REF!</v>
      </c>
      <c r="T429" t="e">
        <f t="shared" si="148"/>
        <v>#DIV/0!</v>
      </c>
      <c r="U429" t="e">
        <f t="shared" si="148"/>
        <v>#DIV/0!</v>
      </c>
    </row>
    <row r="430" spans="1:23" hidden="1">
      <c r="D430" s="1290"/>
      <c r="E430" s="1290"/>
      <c r="F430" s="1290"/>
      <c r="G430" s="1290"/>
      <c r="H430" s="1290"/>
      <c r="I430" s="1290"/>
      <c r="J430" s="1290"/>
      <c r="K430" s="1290"/>
      <c r="L430" s="1290"/>
      <c r="M430" s="1290"/>
      <c r="N430" s="1290"/>
      <c r="O430" s="1290"/>
      <c r="P430" s="1290"/>
      <c r="Q430" s="1290">
        <f>'Смета ВО_2016'!K30+'Смета ВО_2016'!K63+'Смета ВО_2016'!K68</f>
        <v>69815.529024999996</v>
      </c>
      <c r="R430" s="1290">
        <f>'Смета ВО_2016'!L30+'Смета ВО_2016'!L63+'Смета ВО_2016'!L68</f>
        <v>119156.89571999999</v>
      </c>
      <c r="S430" s="500"/>
      <c r="T430" s="500"/>
      <c r="U430" s="500">
        <f>151897088.76</f>
        <v>151897088.75999999</v>
      </c>
    </row>
    <row r="431" spans="1:23" ht="19.5" hidden="1" thickBot="1">
      <c r="A431" s="360" t="s">
        <v>502</v>
      </c>
      <c r="U431" t="e">
        <f>U430/G430</f>
        <v>#DIV/0!</v>
      </c>
    </row>
    <row r="432" spans="1:23" ht="15.75" hidden="1" thickBot="1">
      <c r="A432" s="3389" t="s">
        <v>0</v>
      </c>
      <c r="B432" s="3389" t="s">
        <v>1</v>
      </c>
      <c r="C432" s="3389" t="s">
        <v>2</v>
      </c>
      <c r="D432" s="3432" t="s">
        <v>165</v>
      </c>
      <c r="E432" s="3433"/>
      <c r="F432" s="3433"/>
      <c r="G432" s="3433"/>
      <c r="H432" s="3433"/>
      <c r="I432" s="3433"/>
      <c r="J432" s="3433"/>
      <c r="K432" s="3433"/>
      <c r="L432" s="3433"/>
      <c r="M432" s="3433"/>
      <c r="N432" s="3433"/>
      <c r="O432" s="3433"/>
      <c r="P432" s="3433"/>
      <c r="Q432" s="3433"/>
      <c r="R432" s="3434"/>
      <c r="S432" s="3432" t="s">
        <v>166</v>
      </c>
      <c r="T432" s="3433"/>
      <c r="U432" s="3434"/>
      <c r="V432" s="3432" t="s">
        <v>1059</v>
      </c>
      <c r="W432" s="3434"/>
    </row>
    <row r="433" spans="1:23" ht="15.75" hidden="1" customHeight="1" thickBot="1">
      <c r="A433" s="3401"/>
      <c r="B433" s="3401"/>
      <c r="C433" s="3401"/>
      <c r="D433" s="3418" t="s">
        <v>1196</v>
      </c>
      <c r="E433" s="3419"/>
      <c r="F433" s="3418">
        <v>2015</v>
      </c>
      <c r="G433" s="3419"/>
      <c r="H433" s="3389" t="s">
        <v>1375</v>
      </c>
      <c r="I433" s="3389" t="s">
        <v>1376</v>
      </c>
      <c r="J433" s="3389" t="s">
        <v>394</v>
      </c>
      <c r="K433" s="3389" t="s">
        <v>395</v>
      </c>
      <c r="L433" s="3389" t="s">
        <v>1155</v>
      </c>
      <c r="M433" s="3077"/>
      <c r="N433" s="3077"/>
      <c r="O433" s="3077"/>
      <c r="P433" s="3077"/>
      <c r="Q433" s="3389" t="s">
        <v>394</v>
      </c>
      <c r="R433" s="3389" t="s">
        <v>395</v>
      </c>
      <c r="S433" s="3389" t="s">
        <v>167</v>
      </c>
      <c r="T433" s="3389" t="s">
        <v>394</v>
      </c>
      <c r="U433" s="3389" t="s">
        <v>395</v>
      </c>
      <c r="V433" s="3642" t="s">
        <v>1060</v>
      </c>
      <c r="W433" s="3389" t="s">
        <v>1061</v>
      </c>
    </row>
    <row r="434" spans="1:23" ht="15.75" hidden="1" thickBot="1">
      <c r="A434" s="3390"/>
      <c r="B434" s="3390"/>
      <c r="C434" s="3390"/>
      <c r="D434" s="1535" t="s">
        <v>5</v>
      </c>
      <c r="E434" s="4" t="s">
        <v>6</v>
      </c>
      <c r="F434" s="4" t="s">
        <v>7</v>
      </c>
      <c r="G434" s="4" t="s">
        <v>8</v>
      </c>
      <c r="H434" s="3390"/>
      <c r="I434" s="3390"/>
      <c r="J434" s="3390"/>
      <c r="K434" s="3390"/>
      <c r="L434" s="3390"/>
      <c r="M434" s="3078"/>
      <c r="N434" s="3078"/>
      <c r="O434" s="3078"/>
      <c r="P434" s="3078"/>
      <c r="Q434" s="3390"/>
      <c r="R434" s="3390"/>
      <c r="S434" s="3390"/>
      <c r="T434" s="3390"/>
      <c r="U434" s="3390"/>
      <c r="V434" s="3643"/>
      <c r="W434" s="3401"/>
    </row>
    <row r="435" spans="1:23" hidden="1">
      <c r="A435" s="3">
        <v>1</v>
      </c>
      <c r="B435" s="3">
        <v>2</v>
      </c>
      <c r="C435" s="3">
        <v>3</v>
      </c>
      <c r="D435" s="3">
        <v>4</v>
      </c>
      <c r="E435" s="3">
        <v>5</v>
      </c>
      <c r="F435" s="3">
        <v>6</v>
      </c>
      <c r="G435" s="3">
        <v>7</v>
      </c>
      <c r="H435" s="3"/>
      <c r="I435" s="3"/>
      <c r="J435" s="3"/>
      <c r="K435" s="3"/>
      <c r="L435" s="3">
        <v>8</v>
      </c>
      <c r="M435" s="3"/>
      <c r="N435" s="3"/>
      <c r="O435" s="3"/>
      <c r="P435" s="3"/>
      <c r="Q435" s="3">
        <v>9</v>
      </c>
      <c r="R435" s="3">
        <v>10</v>
      </c>
      <c r="S435" s="25">
        <v>11</v>
      </c>
      <c r="T435" s="25">
        <v>12</v>
      </c>
      <c r="U435" s="25">
        <v>13</v>
      </c>
      <c r="V435" s="1298"/>
      <c r="W435" s="1"/>
    </row>
    <row r="436" spans="1:23" hidden="1">
      <c r="A436" s="98">
        <v>1</v>
      </c>
      <c r="B436" s="125" t="s">
        <v>109</v>
      </c>
      <c r="C436" s="156" t="s">
        <v>11</v>
      </c>
      <c r="D436" s="39">
        <f>SUM(D437:D442)</f>
        <v>0</v>
      </c>
      <c r="E436" s="39">
        <f t="shared" ref="E436:U436" si="149">SUM(E437:E442)</f>
        <v>0</v>
      </c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>
        <f t="shared" si="149"/>
        <v>0</v>
      </c>
      <c r="T436" s="39">
        <f t="shared" si="149"/>
        <v>0</v>
      </c>
      <c r="U436" s="39">
        <f t="shared" si="149"/>
        <v>0</v>
      </c>
      <c r="V436" s="1298"/>
      <c r="W436" s="1"/>
    </row>
    <row r="437" spans="1:23" hidden="1">
      <c r="A437" s="14" t="s">
        <v>10</v>
      </c>
      <c r="B437" s="10"/>
      <c r="C437" s="26" t="s">
        <v>11</v>
      </c>
      <c r="D437" s="1">
        <v>0</v>
      </c>
      <c r="E437" s="1">
        <v>0</v>
      </c>
      <c r="F437" s="1">
        <v>0</v>
      </c>
      <c r="G437" s="1">
        <v>0</v>
      </c>
      <c r="H437" s="1"/>
      <c r="I437" s="1"/>
      <c r="J437" s="1"/>
      <c r="K437" s="1"/>
      <c r="L437" s="1">
        <v>0</v>
      </c>
      <c r="M437" s="1"/>
      <c r="N437" s="1"/>
      <c r="O437" s="1"/>
      <c r="P437" s="1"/>
      <c r="Q437" s="1">
        <v>0</v>
      </c>
      <c r="R437" s="1">
        <v>0</v>
      </c>
      <c r="S437" s="1"/>
      <c r="T437" s="1"/>
      <c r="U437" s="1"/>
      <c r="V437" s="1298"/>
      <c r="W437" s="1"/>
    </row>
    <row r="438" spans="1:23" hidden="1">
      <c r="A438" s="14" t="s">
        <v>18</v>
      </c>
      <c r="B438" s="10"/>
      <c r="C438" s="26" t="s">
        <v>11</v>
      </c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298"/>
      <c r="W438" s="1"/>
    </row>
    <row r="439" spans="1:23" hidden="1">
      <c r="A439" s="14" t="s">
        <v>30</v>
      </c>
      <c r="B439" s="10"/>
      <c r="C439" s="26" t="s">
        <v>11</v>
      </c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298"/>
      <c r="W439" s="1"/>
    </row>
    <row r="440" spans="1:23" hidden="1">
      <c r="A440" s="14" t="s">
        <v>255</v>
      </c>
      <c r="B440" s="10"/>
      <c r="C440" s="26" t="s">
        <v>11</v>
      </c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298"/>
      <c r="W440" s="1"/>
    </row>
    <row r="441" spans="1:23" hidden="1">
      <c r="A441" s="14" t="s">
        <v>40</v>
      </c>
      <c r="B441" s="10"/>
      <c r="C441" s="26" t="s">
        <v>11</v>
      </c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298"/>
      <c r="W441" s="1"/>
    </row>
    <row r="442" spans="1:23" hidden="1">
      <c r="A442" s="14" t="s">
        <v>41</v>
      </c>
      <c r="B442" s="10"/>
      <c r="C442" s="26" t="s">
        <v>11</v>
      </c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298"/>
      <c r="W442" s="1"/>
    </row>
    <row r="443" spans="1:23" hidden="1">
      <c r="A443" s="98" t="s">
        <v>50</v>
      </c>
      <c r="B443" s="126" t="s">
        <v>111</v>
      </c>
      <c r="C443" s="156" t="s">
        <v>11</v>
      </c>
      <c r="D443" s="39">
        <f>SUM(D444:D446)</f>
        <v>0</v>
      </c>
      <c r="E443" s="39">
        <f t="shared" ref="E443:U443" si="150">SUM(E444:E446)</f>
        <v>0</v>
      </c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>
        <f t="shared" si="150"/>
        <v>0</v>
      </c>
      <c r="T443" s="39">
        <f t="shared" si="150"/>
        <v>0</v>
      </c>
      <c r="U443" s="39">
        <f t="shared" si="150"/>
        <v>0</v>
      </c>
      <c r="V443" s="1298"/>
      <c r="W443" s="1"/>
    </row>
    <row r="444" spans="1:23" hidden="1">
      <c r="A444" s="163" t="s">
        <v>52</v>
      </c>
      <c r="B444" s="162"/>
      <c r="C444" s="26" t="s">
        <v>11</v>
      </c>
      <c r="D444" s="108">
        <v>0</v>
      </c>
      <c r="E444" s="108">
        <v>0</v>
      </c>
      <c r="F444" s="108">
        <v>0</v>
      </c>
      <c r="G444" s="108">
        <v>0</v>
      </c>
      <c r="H444" s="108"/>
      <c r="I444" s="108"/>
      <c r="J444" s="108"/>
      <c r="K444" s="108"/>
      <c r="L444" s="108">
        <v>0</v>
      </c>
      <c r="M444" s="108"/>
      <c r="N444" s="108"/>
      <c r="O444" s="108"/>
      <c r="P444" s="108"/>
      <c r="Q444" s="108">
        <v>0</v>
      </c>
      <c r="R444" s="108">
        <v>0</v>
      </c>
      <c r="S444" s="108"/>
      <c r="T444" s="108"/>
      <c r="U444" s="108"/>
      <c r="V444" s="1298"/>
      <c r="W444" s="1"/>
    </row>
    <row r="445" spans="1:23" hidden="1">
      <c r="A445" s="163" t="s">
        <v>54</v>
      </c>
      <c r="B445" s="162"/>
      <c r="C445" s="26" t="s">
        <v>11</v>
      </c>
      <c r="D445" s="108"/>
      <c r="E445" s="108"/>
      <c r="F445" s="108"/>
      <c r="G445" s="108"/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298"/>
      <c r="W445" s="1"/>
    </row>
    <row r="446" spans="1:23" hidden="1">
      <c r="A446" s="163" t="s">
        <v>56</v>
      </c>
      <c r="B446" s="162"/>
      <c r="C446" s="26" t="s">
        <v>11</v>
      </c>
      <c r="D446" s="108"/>
      <c r="E446" s="108"/>
      <c r="F446" s="108"/>
      <c r="G446" s="108"/>
      <c r="H446" s="108"/>
      <c r="I446" s="108"/>
      <c r="J446" s="108"/>
      <c r="K446" s="108"/>
      <c r="L446" s="108"/>
      <c r="M446" s="108"/>
      <c r="N446" s="108"/>
      <c r="O446" s="108"/>
      <c r="P446" s="108"/>
      <c r="Q446" s="108"/>
      <c r="R446" s="108"/>
      <c r="S446" s="108"/>
      <c r="T446" s="108"/>
      <c r="U446" s="108"/>
      <c r="V446" s="1298"/>
      <c r="W446" s="1"/>
    </row>
    <row r="447" spans="1:23" hidden="1">
      <c r="A447" s="98" t="s">
        <v>62</v>
      </c>
      <c r="B447" s="126" t="s">
        <v>113</v>
      </c>
      <c r="C447" s="156" t="s">
        <v>11</v>
      </c>
      <c r="D447" s="39">
        <f>SUM(D448:D448)</f>
        <v>0</v>
      </c>
      <c r="E447" s="39">
        <f>SUM(E448:E448)</f>
        <v>535</v>
      </c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>
        <f>SUM(S448:S448)</f>
        <v>0</v>
      </c>
      <c r="T447" s="39">
        <f>SUM(T448:T448)</f>
        <v>0</v>
      </c>
      <c r="U447" s="39">
        <f>SUM(U448:U448)</f>
        <v>0</v>
      </c>
      <c r="V447" s="1298"/>
      <c r="W447" s="1"/>
    </row>
    <row r="448" spans="1:23" hidden="1">
      <c r="A448" s="161" t="s">
        <v>64</v>
      </c>
      <c r="B448" s="192" t="s">
        <v>628</v>
      </c>
      <c r="C448" s="26" t="s">
        <v>11</v>
      </c>
      <c r="D448" s="108">
        <v>0</v>
      </c>
      <c r="E448" s="108">
        <v>535</v>
      </c>
      <c r="F448" s="108">
        <v>0</v>
      </c>
      <c r="G448" s="108">
        <v>0</v>
      </c>
      <c r="H448" s="108"/>
      <c r="I448" s="108"/>
      <c r="J448" s="108"/>
      <c r="K448" s="108"/>
      <c r="L448" s="108">
        <v>0</v>
      </c>
      <c r="M448" s="108"/>
      <c r="N448" s="108"/>
      <c r="O448" s="108"/>
      <c r="P448" s="108"/>
      <c r="Q448" s="108">
        <v>0</v>
      </c>
      <c r="R448" s="108">
        <v>0</v>
      </c>
      <c r="S448" s="108"/>
      <c r="T448" s="108"/>
      <c r="U448" s="108"/>
      <c r="V448" s="1298"/>
      <c r="W448" s="1"/>
    </row>
    <row r="449" spans="1:24" hidden="1">
      <c r="A449" s="157" t="s">
        <v>99</v>
      </c>
      <c r="B449" s="158" t="s">
        <v>115</v>
      </c>
      <c r="C449" s="159" t="s">
        <v>11</v>
      </c>
      <c r="D449" s="39">
        <f>SUM(D450:D450)</f>
        <v>0</v>
      </c>
      <c r="E449" s="39">
        <f>SUM(E450:E450)</f>
        <v>0</v>
      </c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>
        <f>SUM(S450:S450)</f>
        <v>0</v>
      </c>
      <c r="T449" s="39">
        <f>SUM(T450:T450)</f>
        <v>0</v>
      </c>
      <c r="U449" s="39">
        <f>SUM(U450:U450)</f>
        <v>0</v>
      </c>
      <c r="V449" s="1298"/>
      <c r="W449" s="1"/>
    </row>
    <row r="450" spans="1:24" ht="15.75" hidden="1" thickBot="1">
      <c r="A450" s="101" t="s">
        <v>101</v>
      </c>
      <c r="B450" s="1"/>
      <c r="C450" s="92" t="s">
        <v>11</v>
      </c>
      <c r="D450" s="1">
        <v>0</v>
      </c>
      <c r="E450" s="1">
        <v>0</v>
      </c>
      <c r="F450" s="1">
        <v>0</v>
      </c>
      <c r="G450" s="1">
        <v>0</v>
      </c>
      <c r="H450" s="1"/>
      <c r="I450" s="1"/>
      <c r="J450" s="1"/>
      <c r="K450" s="1"/>
      <c r="L450" s="1">
        <v>0</v>
      </c>
      <c r="M450" s="1"/>
      <c r="N450" s="1"/>
      <c r="O450" s="1"/>
      <c r="P450" s="1"/>
      <c r="Q450" s="1">
        <v>0</v>
      </c>
      <c r="R450" s="1">
        <v>0</v>
      </c>
      <c r="S450" s="1">
        <v>0</v>
      </c>
      <c r="T450" s="1">
        <v>0</v>
      </c>
      <c r="U450" s="1"/>
      <c r="V450" s="1299"/>
      <c r="W450" s="27"/>
    </row>
    <row r="451" spans="1:24" ht="15.75" hidden="1" thickBot="1">
      <c r="A451" s="78"/>
      <c r="B451" s="77" t="s">
        <v>157</v>
      </c>
      <c r="C451" s="77"/>
      <c r="D451" s="77">
        <f>D436+D443+D447+D449</f>
        <v>0</v>
      </c>
      <c r="E451" s="77">
        <f>E436+E443+E447+E449</f>
        <v>535</v>
      </c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  <c r="Q451" s="77"/>
      <c r="R451" s="77"/>
      <c r="S451" s="77">
        <f>S436+S443+S447+S449</f>
        <v>0</v>
      </c>
      <c r="T451" s="77">
        <f>T436+T443+T447+T449</f>
        <v>0</v>
      </c>
      <c r="U451" s="77">
        <f>U436+U443+U447+U449</f>
        <v>0</v>
      </c>
      <c r="V451" s="1300"/>
      <c r="W451" s="1296"/>
    </row>
    <row r="452" spans="1:24" hidden="1"/>
    <row r="454" spans="1:24" ht="19.5" thickBot="1">
      <c r="A454" s="360" t="s">
        <v>1791</v>
      </c>
      <c r="S454" s="500"/>
    </row>
    <row r="455" spans="1:24" ht="15.75" thickBot="1">
      <c r="A455" s="3389" t="s">
        <v>0</v>
      </c>
      <c r="B455" s="3389" t="s">
        <v>1</v>
      </c>
      <c r="C455" s="3389" t="s">
        <v>2</v>
      </c>
      <c r="D455" s="3432" t="s">
        <v>165</v>
      </c>
      <c r="E455" s="3433"/>
      <c r="F455" s="3433"/>
      <c r="G455" s="3433"/>
      <c r="H455" s="3433"/>
      <c r="I455" s="3433"/>
      <c r="J455" s="3433"/>
      <c r="K455" s="3433"/>
      <c r="L455" s="3433"/>
      <c r="M455" s="3081"/>
      <c r="N455" s="3081"/>
      <c r="O455" s="3081"/>
      <c r="P455" s="3081"/>
      <c r="Q455" s="3432" t="s">
        <v>166</v>
      </c>
      <c r="R455" s="3433"/>
      <c r="S455" s="3433"/>
      <c r="T455" s="3434"/>
      <c r="U455" s="2683"/>
      <c r="V455" s="3449"/>
      <c r="W455" s="3449"/>
      <c r="X455" s="116"/>
    </row>
    <row r="456" spans="1:24" ht="15.75" customHeight="1" thickBot="1">
      <c r="A456" s="3401"/>
      <c r="B456" s="3401"/>
      <c r="C456" s="3401"/>
      <c r="D456" s="3418" t="s">
        <v>1196</v>
      </c>
      <c r="E456" s="3419"/>
      <c r="F456" s="3418">
        <v>2015</v>
      </c>
      <c r="G456" s="3419"/>
      <c r="H456" s="3389" t="s">
        <v>1375</v>
      </c>
      <c r="I456" s="3389" t="s">
        <v>1376</v>
      </c>
      <c r="J456" s="3389" t="s">
        <v>394</v>
      </c>
      <c r="K456" s="3389" t="s">
        <v>395</v>
      </c>
      <c r="L456" s="3387" t="s">
        <v>1155</v>
      </c>
      <c r="M456" s="3075"/>
      <c r="N456" s="3075"/>
      <c r="O456" s="3075"/>
      <c r="P456" s="3075"/>
      <c r="Q456" s="3389" t="s">
        <v>394</v>
      </c>
      <c r="R456" s="3389" t="s">
        <v>395</v>
      </c>
      <c r="S456" s="3495" t="s">
        <v>1155</v>
      </c>
      <c r="T456" s="3389" t="s">
        <v>1061</v>
      </c>
      <c r="U456" s="3631"/>
      <c r="V456" s="3631"/>
      <c r="W456" s="3631"/>
      <c r="X456" s="116"/>
    </row>
    <row r="457" spans="1:24" ht="36.75" customHeight="1" thickBot="1">
      <c r="A457" s="3390"/>
      <c r="B457" s="3390"/>
      <c r="C457" s="3390"/>
      <c r="D457" s="1535" t="s">
        <v>5</v>
      </c>
      <c r="E457" s="4" t="s">
        <v>6</v>
      </c>
      <c r="F457" s="4" t="s">
        <v>7</v>
      </c>
      <c r="G457" s="4" t="s">
        <v>8</v>
      </c>
      <c r="H457" s="3390"/>
      <c r="I457" s="3390"/>
      <c r="J457" s="3390"/>
      <c r="K457" s="3390"/>
      <c r="L457" s="3388"/>
      <c r="M457" s="3076"/>
      <c r="N457" s="3076"/>
      <c r="O457" s="3076"/>
      <c r="P457" s="3076"/>
      <c r="Q457" s="3390"/>
      <c r="R457" s="3390"/>
      <c r="S457" s="3496"/>
      <c r="T457" s="3390"/>
      <c r="U457" s="3631"/>
      <c r="V457" s="3631"/>
      <c r="W457" s="3631"/>
      <c r="X457" s="116"/>
    </row>
    <row r="458" spans="1:24">
      <c r="A458" s="534">
        <v>1</v>
      </c>
      <c r="B458" s="3">
        <v>2</v>
      </c>
      <c r="C458" s="3">
        <v>3</v>
      </c>
      <c r="D458" s="3">
        <v>4</v>
      </c>
      <c r="E458" s="3">
        <v>5</v>
      </c>
      <c r="F458" s="3">
        <v>6</v>
      </c>
      <c r="G458" s="3">
        <v>7</v>
      </c>
      <c r="H458" s="3"/>
      <c r="I458" s="3"/>
      <c r="J458" s="3"/>
      <c r="K458" s="3"/>
      <c r="L458" s="2934">
        <v>8</v>
      </c>
      <c r="M458" s="3172"/>
      <c r="N458" s="3172"/>
      <c r="O458" s="3172"/>
      <c r="P458" s="3172"/>
      <c r="Q458" s="534">
        <v>9</v>
      </c>
      <c r="R458" s="1052">
        <v>10</v>
      </c>
      <c r="S458" s="993">
        <v>11</v>
      </c>
      <c r="T458" s="2632">
        <v>12</v>
      </c>
      <c r="U458" s="116"/>
      <c r="V458" s="2684"/>
      <c r="W458" s="116"/>
      <c r="X458" s="116"/>
    </row>
    <row r="459" spans="1:24">
      <c r="A459" s="1090"/>
      <c r="B459" s="224"/>
      <c r="C459" s="225"/>
      <c r="D459" s="74"/>
      <c r="E459" s="74"/>
      <c r="F459" s="74"/>
      <c r="G459" s="74"/>
      <c r="H459" s="74"/>
      <c r="I459" s="74"/>
      <c r="J459" s="74"/>
      <c r="K459" s="74"/>
      <c r="L459" s="2983"/>
      <c r="M459" s="3188"/>
      <c r="N459" s="3188"/>
      <c r="O459" s="3188"/>
      <c r="P459" s="3188"/>
      <c r="Q459" s="2984"/>
      <c r="R459" s="1091"/>
      <c r="S459" s="1089"/>
      <c r="T459" s="2985"/>
      <c r="U459" s="116"/>
      <c r="V459" s="2684"/>
      <c r="W459" s="116"/>
      <c r="X459" s="116"/>
    </row>
    <row r="460" spans="1:24">
      <c r="A460" s="536" t="s">
        <v>10</v>
      </c>
      <c r="B460" s="181" t="s">
        <v>119</v>
      </c>
      <c r="C460" s="85" t="s">
        <v>11</v>
      </c>
      <c r="D460" s="459">
        <v>10000</v>
      </c>
      <c r="E460" s="459">
        <f>8291</f>
        <v>8291</v>
      </c>
      <c r="F460" s="459">
        <v>10000</v>
      </c>
      <c r="G460" s="459">
        <f>налоги!D112</f>
        <v>9752.1875639999998</v>
      </c>
      <c r="H460" s="459">
        <f>налоги!H114</f>
        <v>4381.9133759999995</v>
      </c>
      <c r="I460" s="459">
        <f>налоги!I114</f>
        <v>15721.854557666666</v>
      </c>
      <c r="J460" s="459">
        <f>налоги!J114</f>
        <v>45072.691396975999</v>
      </c>
      <c r="K460" s="459">
        <f>налоги!K114</f>
        <v>45552.499025124802</v>
      </c>
      <c r="L460" s="2666">
        <f>налоги!L114</f>
        <v>46056.29703468104</v>
      </c>
      <c r="M460" s="3185"/>
      <c r="N460" s="3185"/>
      <c r="O460" s="3185"/>
      <c r="P460" s="3185"/>
      <c r="Q460" s="2675">
        <v>24370</v>
      </c>
      <c r="R460" s="505">
        <f>K460</f>
        <v>45552.499025124802</v>
      </c>
      <c r="S460" s="503">
        <f>L460</f>
        <v>46056.29703468104</v>
      </c>
      <c r="T460" s="505"/>
      <c r="U460" s="2978"/>
      <c r="V460" s="2979"/>
      <c r="W460" s="116"/>
      <c r="X460" s="116"/>
    </row>
    <row r="461" spans="1:24" ht="25.5">
      <c r="A461" s="536" t="s">
        <v>18</v>
      </c>
      <c r="B461" s="181" t="s">
        <v>121</v>
      </c>
      <c r="C461" s="85" t="s">
        <v>11</v>
      </c>
      <c r="D461" s="459">
        <v>417.88</v>
      </c>
      <c r="E461" s="459">
        <f>7090*0.4</f>
        <v>2836</v>
      </c>
      <c r="F461" s="459">
        <v>1475.41</v>
      </c>
      <c r="G461" s="459">
        <v>0</v>
      </c>
      <c r="H461" s="459">
        <f>налоги!H115</f>
        <v>0</v>
      </c>
      <c r="I461" s="459">
        <f>налоги!I115</f>
        <v>0</v>
      </c>
      <c r="J461" s="459">
        <f>налоги!J115</f>
        <v>0</v>
      </c>
      <c r="K461" s="459">
        <f>налоги!K115</f>
        <v>0</v>
      </c>
      <c r="L461" s="2666">
        <f>налоги!L115</f>
        <v>0</v>
      </c>
      <c r="M461" s="3185"/>
      <c r="N461" s="3185"/>
      <c r="O461" s="3185"/>
      <c r="P461" s="3185"/>
      <c r="Q461" s="2675">
        <f>налоги!M115</f>
        <v>0</v>
      </c>
      <c r="R461" s="459">
        <f>налоги!N115</f>
        <v>0</v>
      </c>
      <c r="S461" s="459">
        <f>налоги!O115</f>
        <v>0</v>
      </c>
      <c r="T461" s="505">
        <f>налоги!P115</f>
        <v>0</v>
      </c>
      <c r="U461" s="2978"/>
      <c r="V461" s="2979"/>
      <c r="W461" s="116"/>
      <c r="X461" s="116"/>
    </row>
    <row r="462" spans="1:24" ht="38.25">
      <c r="A462" s="536" t="s">
        <v>30</v>
      </c>
      <c r="B462" s="181" t="s">
        <v>123</v>
      </c>
      <c r="C462" s="85" t="s">
        <v>11</v>
      </c>
      <c r="D462" s="459">
        <v>2310.1759999999999</v>
      </c>
      <c r="E462" s="459">
        <f t="shared" ref="E462" si="151">SUM(E463:E464)</f>
        <v>3506</v>
      </c>
      <c r="F462" s="459">
        <f>(5914+1550)*0.96*0.4-556</f>
        <v>2310.1759999999999</v>
      </c>
      <c r="G462" s="459">
        <v>0</v>
      </c>
      <c r="H462" s="459">
        <f>налоги!H116+налоги!H117</f>
        <v>0</v>
      </c>
      <c r="I462" s="459">
        <f>налоги!I116+налоги!I117</f>
        <v>0</v>
      </c>
      <c r="J462" s="459">
        <f>налоги!J116+налоги!J117</f>
        <v>0</v>
      </c>
      <c r="K462" s="459">
        <f>налоги!K116+налоги!K117</f>
        <v>0</v>
      </c>
      <c r="L462" s="2666">
        <f>налоги!L116+налоги!L117</f>
        <v>0</v>
      </c>
      <c r="M462" s="3185"/>
      <c r="N462" s="3185"/>
      <c r="O462" s="3185"/>
      <c r="P462" s="3185"/>
      <c r="Q462" s="2675">
        <f>налоги!M116+налоги!M117</f>
        <v>0</v>
      </c>
      <c r="R462" s="459">
        <f>налоги!N116+налоги!N117</f>
        <v>0</v>
      </c>
      <c r="S462" s="459">
        <f>налоги!O116+налоги!O117</f>
        <v>0</v>
      </c>
      <c r="T462" s="505">
        <f>налоги!P116+налоги!P117</f>
        <v>0</v>
      </c>
      <c r="U462" s="2978"/>
      <c r="V462" s="2980"/>
      <c r="W462" s="116"/>
      <c r="X462" s="116"/>
    </row>
    <row r="463" spans="1:24" ht="25.5" customHeight="1">
      <c r="A463" s="521" t="s">
        <v>396</v>
      </c>
      <c r="B463" s="23" t="s">
        <v>384</v>
      </c>
      <c r="C463" s="2" t="s">
        <v>11</v>
      </c>
      <c r="D463" s="438">
        <v>1737.1659999999997</v>
      </c>
      <c r="E463" s="438">
        <f>3506-E464</f>
        <v>3488.99</v>
      </c>
      <c r="F463" s="438">
        <f>F462-F464-556</f>
        <v>1737.1659999999997</v>
      </c>
      <c r="G463" s="438"/>
      <c r="H463" s="438">
        <v>0</v>
      </c>
      <c r="I463" s="438">
        <v>0</v>
      </c>
      <c r="J463" s="438">
        <v>0</v>
      </c>
      <c r="K463" s="438">
        <v>0</v>
      </c>
      <c r="L463" s="2673">
        <f>G463*1.01</f>
        <v>0</v>
      </c>
      <c r="M463" s="1489"/>
      <c r="N463" s="1489"/>
      <c r="O463" s="1489"/>
      <c r="P463" s="1489"/>
      <c r="Q463" s="2986">
        <f>L463*1.01</f>
        <v>0</v>
      </c>
      <c r="R463" s="507">
        <f t="shared" ref="R463:R464" si="152">Q463*1.01</f>
        <v>0</v>
      </c>
      <c r="S463" s="502"/>
      <c r="T463" s="507"/>
      <c r="U463" s="2981"/>
      <c r="V463" s="2980"/>
      <c r="W463" s="116"/>
      <c r="X463" s="116"/>
    </row>
    <row r="464" spans="1:24">
      <c r="A464" s="521" t="s">
        <v>397</v>
      </c>
      <c r="B464" s="23" t="s">
        <v>385</v>
      </c>
      <c r="C464" s="2" t="s">
        <v>11</v>
      </c>
      <c r="D464" s="438">
        <v>17.010000000000002</v>
      </c>
      <c r="E464" s="438">
        <f>28.35*0.6</f>
        <v>17.010000000000002</v>
      </c>
      <c r="F464" s="438">
        <v>17.010000000000002</v>
      </c>
      <c r="G464" s="438"/>
      <c r="H464" s="438">
        <v>0</v>
      </c>
      <c r="I464" s="438">
        <v>0</v>
      </c>
      <c r="J464" s="438">
        <v>0</v>
      </c>
      <c r="K464" s="438">
        <v>0</v>
      </c>
      <c r="L464" s="2673">
        <f>G464*1.01</f>
        <v>0</v>
      </c>
      <c r="M464" s="1489"/>
      <c r="N464" s="1489"/>
      <c r="O464" s="1489"/>
      <c r="P464" s="1489"/>
      <c r="Q464" s="2986">
        <f>L464*1.01</f>
        <v>0</v>
      </c>
      <c r="R464" s="507">
        <f t="shared" si="152"/>
        <v>0</v>
      </c>
      <c r="S464" s="502"/>
      <c r="T464" s="507"/>
      <c r="U464" s="2981"/>
      <c r="V464" s="2980"/>
      <c r="W464" s="116"/>
      <c r="X464" s="116"/>
    </row>
    <row r="465" spans="1:24">
      <c r="A465" s="536" t="s">
        <v>255</v>
      </c>
      <c r="B465" s="181" t="s">
        <v>629</v>
      </c>
      <c r="C465" s="85" t="s">
        <v>11</v>
      </c>
      <c r="D465" s="459">
        <v>1893.318912</v>
      </c>
      <c r="E465" s="459">
        <v>3219</v>
      </c>
      <c r="F465" s="459">
        <v>5326</v>
      </c>
      <c r="G465" s="459">
        <f>налоги!D120</f>
        <v>3977.5001999999995</v>
      </c>
      <c r="H465" s="459">
        <f>налоги!H120</f>
        <v>3151.2009599999997</v>
      </c>
      <c r="I465" s="459">
        <f>налоги!I120</f>
        <v>6302.4019199999993</v>
      </c>
      <c r="J465" s="459">
        <f>налоги!J120</f>
        <v>6365.4259391999994</v>
      </c>
      <c r="K465" s="459">
        <f>налоги!K120</f>
        <v>6429.0801985919998</v>
      </c>
      <c r="L465" s="2666">
        <f>налоги!L120</f>
        <v>6493.3710005779203</v>
      </c>
      <c r="M465" s="3185"/>
      <c r="N465" s="3185"/>
      <c r="O465" s="3185"/>
      <c r="P465" s="3185"/>
      <c r="Q465" s="2675">
        <f>F465</f>
        <v>5326</v>
      </c>
      <c r="R465" s="505">
        <f>K465</f>
        <v>6429.0801985919998</v>
      </c>
      <c r="S465" s="503">
        <f>R465</f>
        <v>6429.0801985919998</v>
      </c>
      <c r="T465" s="505" t="s">
        <v>1756</v>
      </c>
      <c r="U465" s="2978"/>
      <c r="V465" s="2979"/>
      <c r="W465" s="116"/>
      <c r="X465" s="116"/>
    </row>
    <row r="466" spans="1:24">
      <c r="A466" s="536" t="s">
        <v>40</v>
      </c>
      <c r="B466" s="181" t="s">
        <v>127</v>
      </c>
      <c r="C466" s="85" t="s">
        <v>11</v>
      </c>
      <c r="D466" s="501">
        <v>188.16</v>
      </c>
      <c r="E466" s="501">
        <f t="shared" ref="E466" si="153">SUM(E467:E470)</f>
        <v>271.01</v>
      </c>
      <c r="F466" s="501">
        <v>217</v>
      </c>
      <c r="G466" s="501">
        <f>налоги!D121</f>
        <v>284.56049999999999</v>
      </c>
      <c r="H466" s="501">
        <f>налоги!H121</f>
        <v>155.98643519999999</v>
      </c>
      <c r="I466" s="501">
        <f>налоги!I121</f>
        <v>311.97287039999998</v>
      </c>
      <c r="J466" s="501">
        <f>налоги!J121</f>
        <v>315.09259910399999</v>
      </c>
      <c r="K466" s="501">
        <f>налоги!K121</f>
        <v>318.24352509504001</v>
      </c>
      <c r="L466" s="2977">
        <f>налоги!L121</f>
        <v>321.42596034599035</v>
      </c>
      <c r="M466" s="3186"/>
      <c r="N466" s="3186"/>
      <c r="O466" s="3186"/>
      <c r="P466" s="3186"/>
      <c r="Q466" s="2987">
        <f>J466</f>
        <v>315.09259910399999</v>
      </c>
      <c r="R466" s="501">
        <f>K466</f>
        <v>318.24352509504001</v>
      </c>
      <c r="S466" s="501">
        <f>L466</f>
        <v>321.42596034599035</v>
      </c>
      <c r="T466" s="1093">
        <f>налоги!P121</f>
        <v>0</v>
      </c>
      <c r="U466" s="2982"/>
      <c r="V466" s="2933"/>
      <c r="W466" s="116"/>
      <c r="X466" s="116"/>
    </row>
    <row r="467" spans="1:24" hidden="1">
      <c r="A467" s="521" t="s">
        <v>398</v>
      </c>
      <c r="B467" s="23"/>
      <c r="C467" s="2" t="s">
        <v>11</v>
      </c>
      <c r="D467" s="438">
        <v>188.16</v>
      </c>
      <c r="E467" s="508">
        <f>налоги!C121</f>
        <v>271.01</v>
      </c>
      <c r="F467" s="438">
        <v>217</v>
      </c>
      <c r="G467" s="438">
        <f>G466</f>
        <v>284.56049999999999</v>
      </c>
      <c r="H467" s="438"/>
      <c r="I467" s="438"/>
      <c r="J467" s="438"/>
      <c r="K467" s="438"/>
      <c r="L467" s="2673">
        <f>G467*1.01</f>
        <v>287.40610499999997</v>
      </c>
      <c r="M467" s="1489"/>
      <c r="N467" s="1489"/>
      <c r="O467" s="1489"/>
      <c r="P467" s="1489"/>
      <c r="Q467" s="2986">
        <f>L467*1.01</f>
        <v>290.28016604999999</v>
      </c>
      <c r="R467" s="507">
        <f>Q467*1.01</f>
        <v>293.18296771050001</v>
      </c>
      <c r="S467" s="502"/>
      <c r="T467" s="507"/>
      <c r="U467" s="2981"/>
      <c r="V467" s="2980"/>
      <c r="W467" s="116"/>
      <c r="X467" s="116"/>
    </row>
    <row r="468" spans="1:24" hidden="1">
      <c r="A468" s="521" t="s">
        <v>399</v>
      </c>
      <c r="B468" s="23"/>
      <c r="C468" s="2" t="s">
        <v>11</v>
      </c>
      <c r="D468" s="508"/>
      <c r="E468" s="508"/>
      <c r="F468" s="438"/>
      <c r="G468" s="438"/>
      <c r="H468" s="438"/>
      <c r="I468" s="438"/>
      <c r="J468" s="438"/>
      <c r="K468" s="438"/>
      <c r="L468" s="2673"/>
      <c r="M468" s="1489"/>
      <c r="N468" s="1489"/>
      <c r="O468" s="1489"/>
      <c r="P468" s="1489"/>
      <c r="Q468" s="2986"/>
      <c r="R468" s="507"/>
      <c r="S468" s="502"/>
      <c r="T468" s="507"/>
      <c r="U468" s="2981"/>
      <c r="V468" s="2980"/>
      <c r="W468" s="116"/>
      <c r="X468" s="116"/>
    </row>
    <row r="469" spans="1:24" hidden="1">
      <c r="A469" s="521" t="s">
        <v>400</v>
      </c>
      <c r="B469" s="23"/>
      <c r="C469" s="2" t="s">
        <v>11</v>
      </c>
      <c r="D469" s="508"/>
      <c r="E469" s="508"/>
      <c r="F469" s="438"/>
      <c r="G469" s="438"/>
      <c r="H469" s="438"/>
      <c r="I469" s="438"/>
      <c r="J469" s="438"/>
      <c r="K469" s="438"/>
      <c r="L469" s="2673"/>
      <c r="M469" s="1489"/>
      <c r="N469" s="1489"/>
      <c r="O469" s="1489"/>
      <c r="P469" s="1489"/>
      <c r="Q469" s="2986"/>
      <c r="R469" s="507"/>
      <c r="S469" s="502"/>
      <c r="T469" s="507"/>
      <c r="U469" s="2981"/>
      <c r="V469" s="2980"/>
      <c r="W469" s="116"/>
      <c r="X469" s="116"/>
    </row>
    <row r="470" spans="1:24" hidden="1">
      <c r="A470" s="521" t="s">
        <v>401</v>
      </c>
      <c r="B470" s="23"/>
      <c r="C470" s="2" t="s">
        <v>11</v>
      </c>
      <c r="D470" s="508"/>
      <c r="E470" s="508"/>
      <c r="F470" s="438"/>
      <c r="G470" s="438"/>
      <c r="H470" s="438"/>
      <c r="I470" s="438"/>
      <c r="J470" s="438"/>
      <c r="K470" s="438"/>
      <c r="L470" s="2673"/>
      <c r="M470" s="1489"/>
      <c r="N470" s="1489"/>
      <c r="O470" s="1489"/>
      <c r="P470" s="1489"/>
      <c r="Q470" s="2986"/>
      <c r="R470" s="507"/>
      <c r="S470" s="502"/>
      <c r="T470" s="507"/>
      <c r="U470" s="2981"/>
      <c r="V470" s="2980"/>
      <c r="W470" s="116"/>
      <c r="X470" s="116"/>
    </row>
    <row r="471" spans="1:24" ht="81.75" customHeight="1" thickBot="1">
      <c r="A471" s="536" t="s">
        <v>42</v>
      </c>
      <c r="B471" s="181" t="s">
        <v>129</v>
      </c>
      <c r="C471" s="85" t="s">
        <v>11</v>
      </c>
      <c r="D471" s="449">
        <f>SUM(D472:D475)</f>
        <v>0</v>
      </c>
      <c r="E471" s="449">
        <f t="shared" ref="E471:R471" si="154">SUM(E472:E475)</f>
        <v>0</v>
      </c>
      <c r="F471" s="449">
        <f t="shared" si="154"/>
        <v>0</v>
      </c>
      <c r="G471" s="449">
        <f t="shared" si="154"/>
        <v>0</v>
      </c>
      <c r="H471" s="449"/>
      <c r="I471" s="449"/>
      <c r="J471" s="449">
        <v>0</v>
      </c>
      <c r="K471" s="449">
        <v>0</v>
      </c>
      <c r="L471" s="2668">
        <f t="shared" si="154"/>
        <v>0</v>
      </c>
      <c r="M471" s="3182"/>
      <c r="N471" s="3182"/>
      <c r="O471" s="3182"/>
      <c r="P471" s="3182"/>
      <c r="Q471" s="2676">
        <f t="shared" si="154"/>
        <v>0</v>
      </c>
      <c r="R471" s="1074">
        <f t="shared" si="154"/>
        <v>0</v>
      </c>
      <c r="S471" s="1069">
        <f t="shared" ref="S471:T471" si="155">SUM(S472:S475)</f>
        <v>0</v>
      </c>
      <c r="T471" s="1074">
        <f t="shared" si="155"/>
        <v>0</v>
      </c>
      <c r="U471" s="2974"/>
      <c r="V471" s="2980"/>
      <c r="W471" s="116"/>
      <c r="X471" s="116"/>
    </row>
    <row r="472" spans="1:24" hidden="1">
      <c r="A472" s="537" t="s">
        <v>44</v>
      </c>
      <c r="B472" s="60"/>
      <c r="C472" s="60"/>
      <c r="D472" s="438"/>
      <c r="E472" s="438"/>
      <c r="F472" s="438"/>
      <c r="G472" s="438"/>
      <c r="H472" s="438"/>
      <c r="I472" s="438"/>
      <c r="J472" s="438"/>
      <c r="K472" s="438"/>
      <c r="L472" s="2673"/>
      <c r="M472" s="1489"/>
      <c r="N472" s="1489"/>
      <c r="O472" s="1489"/>
      <c r="P472" s="1489"/>
      <c r="Q472" s="2986"/>
      <c r="R472" s="507"/>
      <c r="S472" s="502"/>
      <c r="T472" s="507"/>
      <c r="U472" s="2981"/>
      <c r="V472" s="2980"/>
      <c r="W472" s="116"/>
      <c r="X472" s="116"/>
    </row>
    <row r="473" spans="1:24" hidden="1">
      <c r="A473" s="538" t="s">
        <v>45</v>
      </c>
      <c r="B473" s="1"/>
      <c r="C473" s="1"/>
      <c r="D473" s="416"/>
      <c r="E473" s="416"/>
      <c r="F473" s="416"/>
      <c r="G473" s="416"/>
      <c r="H473" s="416"/>
      <c r="I473" s="416"/>
      <c r="J473" s="416"/>
      <c r="K473" s="416"/>
      <c r="L473" s="415"/>
      <c r="M473" s="1485"/>
      <c r="N473" s="1485"/>
      <c r="O473" s="1485"/>
      <c r="P473" s="1485"/>
      <c r="Q473" s="1604"/>
      <c r="R473" s="1030"/>
      <c r="S473" s="1034"/>
      <c r="T473" s="1030"/>
      <c r="U473" s="1290"/>
      <c r="V473" s="2980"/>
      <c r="W473" s="116"/>
      <c r="X473" s="116"/>
    </row>
    <row r="474" spans="1:24" hidden="1">
      <c r="A474" s="537" t="s">
        <v>47</v>
      </c>
      <c r="B474" s="1"/>
      <c r="C474" s="1"/>
      <c r="D474" s="416"/>
      <c r="E474" s="416"/>
      <c r="F474" s="416"/>
      <c r="G474" s="416"/>
      <c r="H474" s="416"/>
      <c r="I474" s="416"/>
      <c r="J474" s="416"/>
      <c r="K474" s="416"/>
      <c r="L474" s="415"/>
      <c r="M474" s="1485"/>
      <c r="N474" s="1485"/>
      <c r="O474" s="1485"/>
      <c r="P474" s="1485"/>
      <c r="Q474" s="1604"/>
      <c r="R474" s="1030"/>
      <c r="S474" s="1034"/>
      <c r="T474" s="1030"/>
      <c r="U474" s="1290"/>
      <c r="V474" s="2980"/>
      <c r="W474" s="116"/>
      <c r="X474" s="116"/>
    </row>
    <row r="475" spans="1:24" ht="15.75" hidden="1" thickBot="1">
      <c r="A475" s="1031" t="s">
        <v>48</v>
      </c>
      <c r="B475" s="27"/>
      <c r="C475" s="27"/>
      <c r="D475" s="427"/>
      <c r="E475" s="427"/>
      <c r="F475" s="427"/>
      <c r="G475" s="427"/>
      <c r="H475" s="427"/>
      <c r="I475" s="427"/>
      <c r="J475" s="427"/>
      <c r="K475" s="427"/>
      <c r="L475" s="460"/>
      <c r="M475" s="1487"/>
      <c r="N475" s="1487"/>
      <c r="O475" s="1487"/>
      <c r="P475" s="1487"/>
      <c r="Q475" s="1611"/>
      <c r="R475" s="1032"/>
      <c r="S475" s="1049"/>
      <c r="T475" s="1032"/>
      <c r="U475" s="1290"/>
      <c r="V475" s="2980"/>
      <c r="W475" s="116"/>
      <c r="X475" s="116"/>
    </row>
    <row r="476" spans="1:24" ht="15.75" thickBot="1">
      <c r="A476" s="79"/>
      <c r="B476" s="77" t="s">
        <v>157</v>
      </c>
      <c r="C476" s="77" t="s">
        <v>11</v>
      </c>
      <c r="D476" s="430">
        <f>D459+D460+D461+D462+D465+D466+D471</f>
        <v>14809.534911999999</v>
      </c>
      <c r="E476" s="430">
        <f t="shared" ref="E476:T476" si="156">E459+E460+E461+E462+E465+E466+E471</f>
        <v>18123.009999999998</v>
      </c>
      <c r="F476" s="430">
        <f>F459+F460+F461+F462+F465+F466+F471-1</f>
        <v>19327.585999999999</v>
      </c>
      <c r="G476" s="430">
        <f t="shared" si="156"/>
        <v>14014.248263999998</v>
      </c>
      <c r="H476" s="430">
        <f t="shared" si="156"/>
        <v>7689.1007711999991</v>
      </c>
      <c r="I476" s="430">
        <f t="shared" si="156"/>
        <v>22336.229348066667</v>
      </c>
      <c r="J476" s="430">
        <f t="shared" si="156"/>
        <v>51753.20993528</v>
      </c>
      <c r="K476" s="430">
        <f t="shared" si="156"/>
        <v>52299.822748811835</v>
      </c>
      <c r="L476" s="2645">
        <f t="shared" si="156"/>
        <v>52871.093995604948</v>
      </c>
      <c r="M476" s="3170"/>
      <c r="N476" s="3170"/>
      <c r="O476" s="3170"/>
      <c r="P476" s="3170"/>
      <c r="Q476" s="509">
        <f t="shared" si="156"/>
        <v>30011.092599103999</v>
      </c>
      <c r="R476" s="430">
        <f t="shared" si="156"/>
        <v>52299.822748811835</v>
      </c>
      <c r="S476" s="430">
        <f t="shared" si="156"/>
        <v>52806.803193619024</v>
      </c>
      <c r="T476" s="1033" t="e">
        <f t="shared" si="156"/>
        <v>#VALUE!</v>
      </c>
      <c r="U476" s="2422"/>
      <c r="V476" s="2933"/>
      <c r="W476" s="116"/>
      <c r="X476" s="116"/>
    </row>
    <row r="477" spans="1:24">
      <c r="A477" s="1121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1122"/>
    </row>
    <row r="478" spans="1:24" ht="19.5" thickBot="1">
      <c r="A478" s="1123" t="s">
        <v>1792</v>
      </c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1122"/>
    </row>
    <row r="479" spans="1:24" ht="15.75" thickBot="1">
      <c r="A479" s="3389" t="s">
        <v>0</v>
      </c>
      <c r="B479" s="3389" t="s">
        <v>1</v>
      </c>
      <c r="C479" s="3389" t="s">
        <v>2</v>
      </c>
      <c r="D479" s="3432" t="s">
        <v>165</v>
      </c>
      <c r="E479" s="3433"/>
      <c r="F479" s="3433"/>
      <c r="G479" s="3433"/>
      <c r="H479" s="3433"/>
      <c r="I479" s="3433"/>
      <c r="J479" s="3433"/>
      <c r="K479" s="3433"/>
      <c r="L479" s="3433"/>
      <c r="M479" s="3081"/>
      <c r="N479" s="3081"/>
      <c r="O479" s="3081"/>
      <c r="P479" s="3081"/>
      <c r="Q479" s="3432" t="s">
        <v>166</v>
      </c>
      <c r="R479" s="3433"/>
      <c r="S479" s="3433"/>
      <c r="T479" s="3434"/>
      <c r="U479" s="2683"/>
      <c r="V479" s="3449"/>
      <c r="W479" s="3449"/>
    </row>
    <row r="480" spans="1:24" ht="30" customHeight="1" thickBot="1">
      <c r="A480" s="3401"/>
      <c r="B480" s="3401"/>
      <c r="C480" s="3401"/>
      <c r="D480" s="3418" t="s">
        <v>1196</v>
      </c>
      <c r="E480" s="3419"/>
      <c r="F480" s="3418">
        <v>2015</v>
      </c>
      <c r="G480" s="3419"/>
      <c r="H480" s="3389" t="s">
        <v>1375</v>
      </c>
      <c r="I480" s="3389" t="s">
        <v>1376</v>
      </c>
      <c r="J480" s="3389" t="s">
        <v>394</v>
      </c>
      <c r="K480" s="3389" t="s">
        <v>395</v>
      </c>
      <c r="L480" s="3387" t="s">
        <v>1155</v>
      </c>
      <c r="M480" s="3075"/>
      <c r="N480" s="3075"/>
      <c r="O480" s="3075"/>
      <c r="P480" s="3075"/>
      <c r="Q480" s="3389" t="s">
        <v>394</v>
      </c>
      <c r="R480" s="3389" t="s">
        <v>395</v>
      </c>
      <c r="S480" s="3495" t="s">
        <v>1155</v>
      </c>
      <c r="T480" s="3389" t="s">
        <v>1061</v>
      </c>
      <c r="U480" s="3631"/>
      <c r="V480" s="3631"/>
      <c r="W480" s="3631"/>
    </row>
    <row r="481" spans="1:23" ht="32.25" customHeight="1" thickBot="1">
      <c r="A481" s="3390"/>
      <c r="B481" s="3390"/>
      <c r="C481" s="3390"/>
      <c r="D481" s="1535" t="s">
        <v>5</v>
      </c>
      <c r="E481" s="4" t="s">
        <v>6</v>
      </c>
      <c r="F481" s="4" t="s">
        <v>7</v>
      </c>
      <c r="G481" s="4" t="s">
        <v>8</v>
      </c>
      <c r="H481" s="3390"/>
      <c r="I481" s="3390"/>
      <c r="J481" s="3390"/>
      <c r="K481" s="3390"/>
      <c r="L481" s="3388"/>
      <c r="M481" s="3076"/>
      <c r="N481" s="3076"/>
      <c r="O481" s="3076"/>
      <c r="P481" s="3076"/>
      <c r="Q481" s="3390"/>
      <c r="R481" s="3390"/>
      <c r="S481" s="3496"/>
      <c r="T481" s="3390"/>
      <c r="U481" s="3631"/>
      <c r="V481" s="3631"/>
      <c r="W481" s="3631"/>
    </row>
    <row r="482" spans="1:23" ht="27.75" hidden="1" customHeight="1">
      <c r="A482" s="534">
        <v>1</v>
      </c>
      <c r="B482" s="3">
        <v>2</v>
      </c>
      <c r="C482" s="3">
        <v>3</v>
      </c>
      <c r="D482" s="3">
        <v>4</v>
      </c>
      <c r="E482" s="3">
        <v>5</v>
      </c>
      <c r="F482" s="3">
        <v>6</v>
      </c>
      <c r="G482" s="3">
        <v>7</v>
      </c>
      <c r="H482" s="3">
        <v>8</v>
      </c>
      <c r="I482" s="3">
        <v>9</v>
      </c>
      <c r="J482" s="3">
        <v>10</v>
      </c>
      <c r="K482" s="3">
        <v>11</v>
      </c>
      <c r="L482" s="2934">
        <v>12</v>
      </c>
      <c r="M482" s="3172"/>
      <c r="N482" s="3172"/>
      <c r="O482" s="3172"/>
      <c r="P482" s="3172"/>
      <c r="Q482" s="534">
        <v>13</v>
      </c>
      <c r="R482" s="1052">
        <v>14</v>
      </c>
      <c r="S482" s="3192">
        <v>15</v>
      </c>
      <c r="T482" s="3193">
        <v>16</v>
      </c>
      <c r="U482" s="116"/>
      <c r="V482" s="2684"/>
      <c r="W482" s="116"/>
    </row>
    <row r="483" spans="1:23" ht="65.25" customHeight="1">
      <c r="A483" s="536" t="s">
        <v>174</v>
      </c>
      <c r="B483" s="181" t="s">
        <v>378</v>
      </c>
      <c r="C483" s="182" t="s">
        <v>11</v>
      </c>
      <c r="D483" s="501">
        <f>SUM(D484:D488)</f>
        <v>0</v>
      </c>
      <c r="E483" s="501">
        <f t="shared" ref="E483:T483" si="157">SUM(E484:E488)</f>
        <v>0</v>
      </c>
      <c r="F483" s="501">
        <f t="shared" si="157"/>
        <v>0</v>
      </c>
      <c r="G483" s="501">
        <f t="shared" si="157"/>
        <v>0</v>
      </c>
      <c r="H483" s="501"/>
      <c r="I483" s="501"/>
      <c r="J483" s="501"/>
      <c r="K483" s="501"/>
      <c r="L483" s="2977">
        <f t="shared" si="157"/>
        <v>0</v>
      </c>
      <c r="M483" s="3186"/>
      <c r="N483" s="3186"/>
      <c r="O483" s="3186"/>
      <c r="P483" s="3186"/>
      <c r="Q483" s="2987">
        <f t="shared" si="157"/>
        <v>0</v>
      </c>
      <c r="R483" s="501">
        <f t="shared" si="157"/>
        <v>0</v>
      </c>
      <c r="S483" s="1118">
        <f t="shared" si="157"/>
        <v>0</v>
      </c>
      <c r="T483" s="1093">
        <f t="shared" si="157"/>
        <v>0</v>
      </c>
      <c r="U483" s="2982"/>
      <c r="V483" s="2684"/>
      <c r="W483" s="116"/>
    </row>
    <row r="484" spans="1:23" ht="32.25" hidden="1" customHeight="1">
      <c r="A484" s="521" t="s">
        <v>10</v>
      </c>
      <c r="B484" s="177"/>
      <c r="C484" s="178" t="s">
        <v>11</v>
      </c>
      <c r="D484" s="416"/>
      <c r="E484" s="416"/>
      <c r="F484" s="416"/>
      <c r="G484" s="416"/>
      <c r="H484" s="416"/>
      <c r="I484" s="416"/>
      <c r="J484" s="416"/>
      <c r="K484" s="416"/>
      <c r="L484" s="415"/>
      <c r="M484" s="1485"/>
      <c r="N484" s="1485"/>
      <c r="O484" s="1485"/>
      <c r="P484" s="1485"/>
      <c r="Q484" s="1604"/>
      <c r="R484" s="1030"/>
      <c r="S484" s="1034"/>
      <c r="T484" s="1030"/>
      <c r="U484" s="1290"/>
      <c r="V484" s="2684"/>
      <c r="W484" s="116"/>
    </row>
    <row r="485" spans="1:23" ht="32.25" hidden="1" customHeight="1">
      <c r="A485" s="521" t="s">
        <v>18</v>
      </c>
      <c r="B485" s="177"/>
      <c r="C485" s="178" t="s">
        <v>11</v>
      </c>
      <c r="D485" s="416"/>
      <c r="E485" s="416"/>
      <c r="F485" s="416"/>
      <c r="G485" s="416"/>
      <c r="H485" s="416"/>
      <c r="I485" s="416"/>
      <c r="J485" s="416"/>
      <c r="K485" s="416"/>
      <c r="L485" s="415"/>
      <c r="M485" s="1485"/>
      <c r="N485" s="1485"/>
      <c r="O485" s="1485"/>
      <c r="P485" s="1485"/>
      <c r="Q485" s="1604"/>
      <c r="R485" s="1030"/>
      <c r="S485" s="1034"/>
      <c r="T485" s="1030"/>
      <c r="U485" s="1290"/>
      <c r="V485" s="2684"/>
      <c r="W485" s="116"/>
    </row>
    <row r="486" spans="1:23" ht="32.25" hidden="1" customHeight="1">
      <c r="A486" s="521" t="s">
        <v>30</v>
      </c>
      <c r="B486" s="177"/>
      <c r="C486" s="178" t="s">
        <v>11</v>
      </c>
      <c r="D486" s="416"/>
      <c r="E486" s="416"/>
      <c r="F486" s="416"/>
      <c r="G486" s="416"/>
      <c r="H486" s="416"/>
      <c r="I486" s="416"/>
      <c r="J486" s="416"/>
      <c r="K486" s="416"/>
      <c r="L486" s="415"/>
      <c r="M486" s="1485"/>
      <c r="N486" s="1485"/>
      <c r="O486" s="1485"/>
      <c r="P486" s="1485"/>
      <c r="Q486" s="1604"/>
      <c r="R486" s="1030"/>
      <c r="S486" s="1034"/>
      <c r="T486" s="1030"/>
      <c r="U486" s="1290"/>
      <c r="V486" s="2684"/>
      <c r="W486" s="116"/>
    </row>
    <row r="487" spans="1:23" ht="32.25" hidden="1" customHeight="1">
      <c r="A487" s="521" t="s">
        <v>255</v>
      </c>
      <c r="B487" s="177"/>
      <c r="C487" s="178" t="s">
        <v>11</v>
      </c>
      <c r="D487" s="416"/>
      <c r="E487" s="416"/>
      <c r="F487" s="416"/>
      <c r="G487" s="416"/>
      <c r="H487" s="416"/>
      <c r="I487" s="416"/>
      <c r="J487" s="416"/>
      <c r="K487" s="416"/>
      <c r="L487" s="415"/>
      <c r="M487" s="1485"/>
      <c r="N487" s="1485"/>
      <c r="O487" s="1485"/>
      <c r="P487" s="1485"/>
      <c r="Q487" s="1604"/>
      <c r="R487" s="1030"/>
      <c r="S487" s="1034"/>
      <c r="T487" s="1030"/>
      <c r="U487" s="1290"/>
      <c r="V487" s="2684"/>
      <c r="W487" s="116"/>
    </row>
    <row r="488" spans="1:23" ht="32.25" hidden="1" customHeight="1">
      <c r="A488" s="521" t="s">
        <v>40</v>
      </c>
      <c r="B488" s="177"/>
      <c r="C488" s="178" t="s">
        <v>11</v>
      </c>
      <c r="D488" s="416"/>
      <c r="E488" s="416"/>
      <c r="F488" s="416"/>
      <c r="G488" s="416"/>
      <c r="H488" s="416"/>
      <c r="I488" s="416"/>
      <c r="J488" s="416"/>
      <c r="K488" s="416"/>
      <c r="L488" s="415"/>
      <c r="M488" s="1485"/>
      <c r="N488" s="1485"/>
      <c r="O488" s="1485"/>
      <c r="P488" s="1485"/>
      <c r="Q488" s="1604"/>
      <c r="R488" s="1030"/>
      <c r="S488" s="1034"/>
      <c r="T488" s="1030"/>
      <c r="U488" s="1290"/>
      <c r="V488" s="2684"/>
      <c r="W488" s="116"/>
    </row>
    <row r="489" spans="1:23" ht="67.5" customHeight="1">
      <c r="A489" s="536" t="s">
        <v>50</v>
      </c>
      <c r="B489" s="181" t="s">
        <v>1311</v>
      </c>
      <c r="C489" s="182" t="s">
        <v>11</v>
      </c>
      <c r="D489" s="501">
        <f>SUM(D490:D490)</f>
        <v>0</v>
      </c>
      <c r="E489" s="501">
        <f>SUM(E490:E490)</f>
        <v>0</v>
      </c>
      <c r="F489" s="501">
        <f t="shared" ref="F489:L489" si="158">SUM(F490:F490)</f>
        <v>0</v>
      </c>
      <c r="G489" s="501">
        <f t="shared" si="158"/>
        <v>0</v>
      </c>
      <c r="H489" s="501"/>
      <c r="I489" s="501"/>
      <c r="J489" s="501">
        <v>2971.364</v>
      </c>
      <c r="K489" s="501"/>
      <c r="L489" s="2977">
        <f t="shared" si="158"/>
        <v>0</v>
      </c>
      <c r="M489" s="3186"/>
      <c r="N489" s="3186"/>
      <c r="O489" s="3186"/>
      <c r="P489" s="3186"/>
      <c r="Q489" s="2987">
        <f t="shared" ref="Q489:R489" si="159">SUM(Q490:Q490)</f>
        <v>0</v>
      </c>
      <c r="R489" s="1093">
        <f t="shared" si="159"/>
        <v>0</v>
      </c>
      <c r="S489" s="1118">
        <f>SUM(S490:S490)</f>
        <v>0</v>
      </c>
      <c r="T489" s="1093">
        <f>SUM(T490:T490)</f>
        <v>0</v>
      </c>
      <c r="U489" s="2982"/>
      <c r="V489" s="2684"/>
      <c r="W489" s="116"/>
    </row>
    <row r="490" spans="1:23" ht="30.75" customHeight="1">
      <c r="A490" s="521" t="s">
        <v>52</v>
      </c>
      <c r="B490" s="177" t="s">
        <v>630</v>
      </c>
      <c r="C490" s="178" t="s">
        <v>11</v>
      </c>
      <c r="D490" s="512"/>
      <c r="E490" s="512"/>
      <c r="F490" s="512"/>
      <c r="G490" s="512"/>
      <c r="H490" s="512"/>
      <c r="I490" s="512"/>
      <c r="J490" s="512"/>
      <c r="K490" s="512"/>
      <c r="L490" s="2988"/>
      <c r="M490" s="3189"/>
      <c r="N490" s="3189"/>
      <c r="O490" s="3189"/>
      <c r="P490" s="3189"/>
      <c r="Q490" s="2992">
        <f>L490*1.04</f>
        <v>0</v>
      </c>
      <c r="R490" s="1124">
        <f>Q490*1.04</f>
        <v>0</v>
      </c>
      <c r="S490" s="1119"/>
      <c r="T490" s="1124"/>
      <c r="U490" s="2990"/>
      <c r="V490" s="2684"/>
      <c r="W490" s="116"/>
    </row>
    <row r="491" spans="1:23" ht="24" hidden="1" customHeight="1">
      <c r="A491" s="536" t="s">
        <v>62</v>
      </c>
      <c r="B491" s="181" t="s">
        <v>382</v>
      </c>
      <c r="C491" s="182" t="s">
        <v>11</v>
      </c>
      <c r="D491" s="501">
        <f>SUM(D492:D496)</f>
        <v>0</v>
      </c>
      <c r="E491" s="501">
        <f t="shared" ref="E491:T491" si="160">SUM(E492:E496)</f>
        <v>0</v>
      </c>
      <c r="F491" s="501">
        <f t="shared" si="160"/>
        <v>0</v>
      </c>
      <c r="G491" s="501">
        <f t="shared" si="160"/>
        <v>0</v>
      </c>
      <c r="H491" s="501"/>
      <c r="I491" s="501"/>
      <c r="J491" s="501"/>
      <c r="K491" s="501"/>
      <c r="L491" s="2977">
        <f t="shared" si="160"/>
        <v>0</v>
      </c>
      <c r="M491" s="3186"/>
      <c r="N491" s="3186"/>
      <c r="O491" s="3186"/>
      <c r="P491" s="3186"/>
      <c r="Q491" s="2987">
        <f t="shared" si="160"/>
        <v>0</v>
      </c>
      <c r="R491" s="1093"/>
      <c r="S491" s="1118">
        <f t="shared" si="160"/>
        <v>0</v>
      </c>
      <c r="T491" s="1093">
        <f t="shared" si="160"/>
        <v>0</v>
      </c>
      <c r="U491" s="2982"/>
      <c r="V491" s="2684"/>
      <c r="W491" s="116"/>
    </row>
    <row r="492" spans="1:23" ht="24" hidden="1" customHeight="1">
      <c r="A492" s="521" t="s">
        <v>64</v>
      </c>
      <c r="B492" s="177"/>
      <c r="C492" s="178" t="s">
        <v>11</v>
      </c>
      <c r="D492" s="512"/>
      <c r="E492" s="512"/>
      <c r="F492" s="512"/>
      <c r="G492" s="512"/>
      <c r="H492" s="512"/>
      <c r="I492" s="512"/>
      <c r="J492" s="512"/>
      <c r="K492" s="512"/>
      <c r="L492" s="2988"/>
      <c r="M492" s="3189"/>
      <c r="N492" s="3189"/>
      <c r="O492" s="3189"/>
      <c r="P492" s="3189"/>
      <c r="Q492" s="2992"/>
      <c r="R492" s="1124"/>
      <c r="S492" s="1119"/>
      <c r="T492" s="1124"/>
      <c r="U492" s="2990"/>
      <c r="V492" s="2684"/>
      <c r="W492" s="116"/>
    </row>
    <row r="493" spans="1:23" ht="24" hidden="1" customHeight="1">
      <c r="A493" s="521" t="s">
        <v>80</v>
      </c>
      <c r="B493" s="177"/>
      <c r="C493" s="178" t="s">
        <v>11</v>
      </c>
      <c r="D493" s="512"/>
      <c r="E493" s="512"/>
      <c r="F493" s="512"/>
      <c r="G493" s="512"/>
      <c r="H493" s="512"/>
      <c r="I493" s="512"/>
      <c r="J493" s="512"/>
      <c r="K493" s="512"/>
      <c r="L493" s="2988"/>
      <c r="M493" s="3189"/>
      <c r="N493" s="3189"/>
      <c r="O493" s="3189"/>
      <c r="P493" s="3189"/>
      <c r="Q493" s="2992"/>
      <c r="R493" s="1124"/>
      <c r="S493" s="1119"/>
      <c r="T493" s="1124"/>
      <c r="U493" s="2990"/>
      <c r="V493" s="2684"/>
      <c r="W493" s="116"/>
    </row>
    <row r="494" spans="1:23" ht="24" hidden="1" customHeight="1">
      <c r="A494" s="521" t="s">
        <v>86</v>
      </c>
      <c r="B494" s="177"/>
      <c r="C494" s="178" t="s">
        <v>11</v>
      </c>
      <c r="D494" s="512"/>
      <c r="E494" s="512"/>
      <c r="F494" s="512"/>
      <c r="G494" s="512"/>
      <c r="H494" s="512"/>
      <c r="I494" s="512"/>
      <c r="J494" s="512"/>
      <c r="K494" s="512"/>
      <c r="L494" s="2988"/>
      <c r="M494" s="3189"/>
      <c r="N494" s="3189"/>
      <c r="O494" s="3189"/>
      <c r="P494" s="3189"/>
      <c r="Q494" s="2992"/>
      <c r="R494" s="1124"/>
      <c r="S494" s="1119"/>
      <c r="T494" s="1124"/>
      <c r="U494" s="2990"/>
      <c r="V494" s="2684"/>
      <c r="W494" s="116"/>
    </row>
    <row r="495" spans="1:23" ht="24" hidden="1" customHeight="1">
      <c r="A495" s="521" t="s">
        <v>88</v>
      </c>
      <c r="B495" s="177"/>
      <c r="C495" s="178" t="s">
        <v>11</v>
      </c>
      <c r="D495" s="512"/>
      <c r="E495" s="512"/>
      <c r="F495" s="512"/>
      <c r="G495" s="512"/>
      <c r="H495" s="512"/>
      <c r="I495" s="512"/>
      <c r="J495" s="512"/>
      <c r="K495" s="512"/>
      <c r="L495" s="2988"/>
      <c r="M495" s="3189"/>
      <c r="N495" s="3189"/>
      <c r="O495" s="3189"/>
      <c r="P495" s="3189"/>
      <c r="Q495" s="2992"/>
      <c r="R495" s="1124"/>
      <c r="S495" s="1119"/>
      <c r="T495" s="1124"/>
      <c r="U495" s="2990"/>
      <c r="V495" s="2684"/>
      <c r="W495" s="116"/>
    </row>
    <row r="496" spans="1:23" ht="24" hidden="1" customHeight="1">
      <c r="A496" s="521" t="s">
        <v>90</v>
      </c>
      <c r="B496" s="27"/>
      <c r="C496" s="179" t="s">
        <v>11</v>
      </c>
      <c r="D496" s="513"/>
      <c r="E496" s="513"/>
      <c r="F496" s="513"/>
      <c r="G496" s="513"/>
      <c r="H496" s="513"/>
      <c r="I496" s="513"/>
      <c r="J496" s="513"/>
      <c r="K496" s="513"/>
      <c r="L496" s="2989"/>
      <c r="M496" s="3190"/>
      <c r="N496" s="3190"/>
      <c r="O496" s="3190"/>
      <c r="P496" s="3190"/>
      <c r="Q496" s="2993"/>
      <c r="R496" s="1125"/>
      <c r="S496" s="1120"/>
      <c r="T496" s="1125"/>
      <c r="U496" s="2990"/>
      <c r="V496" s="2684"/>
      <c r="W496" s="116"/>
    </row>
    <row r="497" spans="1:23" ht="37.5" customHeight="1">
      <c r="A497" s="536" t="s">
        <v>99</v>
      </c>
      <c r="B497" s="181" t="s">
        <v>631</v>
      </c>
      <c r="C497" s="182" t="s">
        <v>11</v>
      </c>
      <c r="D497" s="501"/>
      <c r="E497" s="501">
        <f>'сбытовые расходы'!G13/1000</f>
        <v>3164.8359999999998</v>
      </c>
      <c r="F497" s="501">
        <f>'сбытовые расходы'!E13/1000</f>
        <v>3100.0010717999999</v>
      </c>
      <c r="G497" s="501">
        <f>'сбытовые расходы'!H13/1000</f>
        <v>3307.2536199999995</v>
      </c>
      <c r="H497" s="501">
        <f>'сбытовые расходы'!H13/2/1000</f>
        <v>1653.6268099999998</v>
      </c>
      <c r="I497" s="501">
        <f>'сбытовые расходы'!H13/1000</f>
        <v>3307.2536199999995</v>
      </c>
      <c r="J497" s="501">
        <f>'сбытовые расходы'!I13/1000</f>
        <v>3449.4655256599995</v>
      </c>
      <c r="K497" s="501">
        <f>'сбытовые расходы'!J13/1000</f>
        <v>3597.7925432633792</v>
      </c>
      <c r="L497" s="2977">
        <f>K497</f>
        <v>3597.7925432633792</v>
      </c>
      <c r="M497" s="3186"/>
      <c r="N497" s="3186"/>
      <c r="O497" s="3186"/>
      <c r="P497" s="3186"/>
      <c r="Q497" s="2987">
        <f>J497</f>
        <v>3449.4655256599995</v>
      </c>
      <c r="R497" s="2987">
        <f>K497</f>
        <v>3597.7925432633792</v>
      </c>
      <c r="S497" s="2987">
        <f t="shared" ref="S497" si="161">L497</f>
        <v>3597.7925432633792</v>
      </c>
      <c r="T497" s="1093">
        <f>'сбытовые расходы'!O13/1000</f>
        <v>0</v>
      </c>
      <c r="U497" s="2982"/>
      <c r="V497" s="2991"/>
      <c r="W497" s="116"/>
    </row>
    <row r="498" spans="1:23" ht="24" customHeight="1">
      <c r="A498" s="536" t="s">
        <v>62</v>
      </c>
      <c r="B498" s="181" t="s">
        <v>1311</v>
      </c>
      <c r="C498" s="182" t="s">
        <v>11</v>
      </c>
      <c r="D498" s="501">
        <f>SUM(D499:D499)</f>
        <v>0</v>
      </c>
      <c r="E498" s="501">
        <f>SUM(E499:E499)</f>
        <v>0</v>
      </c>
      <c r="F498" s="501">
        <f t="shared" ref="F498:L498" si="162">SUM(F499:F499)</f>
        <v>0</v>
      </c>
      <c r="G498" s="501">
        <f t="shared" si="162"/>
        <v>0</v>
      </c>
      <c r="H498" s="501"/>
      <c r="I498" s="501"/>
      <c r="J498" s="501">
        <v>2972.364</v>
      </c>
      <c r="K498" s="501"/>
      <c r="L498" s="2977">
        <f t="shared" si="162"/>
        <v>0</v>
      </c>
      <c r="M498" s="3186"/>
      <c r="N498" s="3186"/>
      <c r="O498" s="3186"/>
      <c r="P498" s="3186"/>
      <c r="Q498" s="2987">
        <f t="shared" ref="Q498:R498" si="163">SUM(Q499:Q499)</f>
        <v>0</v>
      </c>
      <c r="R498" s="1093">
        <f t="shared" si="163"/>
        <v>0</v>
      </c>
      <c r="S498" s="1118">
        <f>SUM(S499:S499)</f>
        <v>0</v>
      </c>
      <c r="T498" s="1093">
        <f>SUM(T499:T499)</f>
        <v>0</v>
      </c>
      <c r="U498" s="2982"/>
      <c r="V498" s="2684"/>
      <c r="W498" s="116"/>
    </row>
  </sheetData>
  <mergeCells count="315">
    <mergeCell ref="W183:W184"/>
    <mergeCell ref="V183:V184"/>
    <mergeCell ref="V182:W182"/>
    <mergeCell ref="W125:W126"/>
    <mergeCell ref="V125:V126"/>
    <mergeCell ref="D125:E125"/>
    <mergeCell ref="V124:W124"/>
    <mergeCell ref="S124:U124"/>
    <mergeCell ref="D124:R124"/>
    <mergeCell ref="D182:L182"/>
    <mergeCell ref="Q182:T182"/>
    <mergeCell ref="H480:H481"/>
    <mergeCell ref="I480:I481"/>
    <mergeCell ref="H12:H13"/>
    <mergeCell ref="I12:I13"/>
    <mergeCell ref="H125:H126"/>
    <mergeCell ref="I125:I126"/>
    <mergeCell ref="H183:H184"/>
    <mergeCell ref="I183:I184"/>
    <mergeCell ref="H223:H224"/>
    <mergeCell ref="I223:I224"/>
    <mergeCell ref="H247:H248"/>
    <mergeCell ref="I247:I248"/>
    <mergeCell ref="D204:R204"/>
    <mergeCell ref="F367:S367"/>
    <mergeCell ref="F369:S369"/>
    <mergeCell ref="S433:S434"/>
    <mergeCell ref="S432:U432"/>
    <mergeCell ref="F366:S366"/>
    <mergeCell ref="A259:S259"/>
    <mergeCell ref="A260:A262"/>
    <mergeCell ref="B260:B262"/>
    <mergeCell ref="C124:C126"/>
    <mergeCell ref="B124:B126"/>
    <mergeCell ref="A124:A126"/>
    <mergeCell ref="V479:W479"/>
    <mergeCell ref="V480:V481"/>
    <mergeCell ref="W480:W481"/>
    <mergeCell ref="V339:W339"/>
    <mergeCell ref="V340:V341"/>
    <mergeCell ref="W340:W341"/>
    <mergeCell ref="V372:W372"/>
    <mergeCell ref="V373:V374"/>
    <mergeCell ref="W373:W374"/>
    <mergeCell ref="V432:W432"/>
    <mergeCell ref="V433:V434"/>
    <mergeCell ref="W433:W434"/>
    <mergeCell ref="V301:W301"/>
    <mergeCell ref="V302:V303"/>
    <mergeCell ref="W302:W303"/>
    <mergeCell ref="V316:W316"/>
    <mergeCell ref="V317:V318"/>
    <mergeCell ref="W317:W318"/>
    <mergeCell ref="V455:W455"/>
    <mergeCell ref="V456:V457"/>
    <mergeCell ref="W456:W457"/>
    <mergeCell ref="V222:W222"/>
    <mergeCell ref="V223:V224"/>
    <mergeCell ref="W223:W224"/>
    <mergeCell ref="V246:W246"/>
    <mergeCell ref="V247:V248"/>
    <mergeCell ref="W247:W248"/>
    <mergeCell ref="V260:W260"/>
    <mergeCell ref="V261:V262"/>
    <mergeCell ref="W261:W262"/>
    <mergeCell ref="Q479:T479"/>
    <mergeCell ref="V11:W11"/>
    <mergeCell ref="V12:V13"/>
    <mergeCell ref="W12:W13"/>
    <mergeCell ref="F125:G125"/>
    <mergeCell ref="L125:L126"/>
    <mergeCell ref="Q125:Q126"/>
    <mergeCell ref="R125:R126"/>
    <mergeCell ref="S125:S126"/>
    <mergeCell ref="T125:T126"/>
    <mergeCell ref="U125:U126"/>
    <mergeCell ref="D11:L11"/>
    <mergeCell ref="Q11:S11"/>
    <mergeCell ref="D73:L73"/>
    <mergeCell ref="L74:L75"/>
    <mergeCell ref="V74:V75"/>
    <mergeCell ref="T74:T75"/>
    <mergeCell ref="Q73:S73"/>
    <mergeCell ref="Q74:Q75"/>
    <mergeCell ref="R74:R75"/>
    <mergeCell ref="S74:S75"/>
    <mergeCell ref="V204:W204"/>
    <mergeCell ref="V205:V206"/>
    <mergeCell ref="W205:W206"/>
    <mergeCell ref="D456:E456"/>
    <mergeCell ref="F433:G433"/>
    <mergeCell ref="L433:L434"/>
    <mergeCell ref="Q433:Q434"/>
    <mergeCell ref="R433:R434"/>
    <mergeCell ref="A432:A434"/>
    <mergeCell ref="B432:B434"/>
    <mergeCell ref="C432:C434"/>
    <mergeCell ref="D432:R432"/>
    <mergeCell ref="J456:J457"/>
    <mergeCell ref="K456:K457"/>
    <mergeCell ref="R456:R457"/>
    <mergeCell ref="H433:H434"/>
    <mergeCell ref="I433:I434"/>
    <mergeCell ref="H456:H457"/>
    <mergeCell ref="I456:I457"/>
    <mergeCell ref="J433:J434"/>
    <mergeCell ref="K433:K434"/>
    <mergeCell ref="D455:L455"/>
    <mergeCell ref="Q455:T455"/>
    <mergeCell ref="T433:T434"/>
    <mergeCell ref="U433:U434"/>
    <mergeCell ref="U456:U457"/>
    <mergeCell ref="F456:G456"/>
    <mergeCell ref="L456:L457"/>
    <mergeCell ref="Q456:Q457"/>
    <mergeCell ref="T456:T457"/>
    <mergeCell ref="A479:A481"/>
    <mergeCell ref="B479:B481"/>
    <mergeCell ref="C479:C481"/>
    <mergeCell ref="D480:E480"/>
    <mergeCell ref="F480:G480"/>
    <mergeCell ref="L480:L481"/>
    <mergeCell ref="Q480:Q481"/>
    <mergeCell ref="R480:R481"/>
    <mergeCell ref="S480:S481"/>
    <mergeCell ref="T480:T481"/>
    <mergeCell ref="U480:U481"/>
    <mergeCell ref="J480:J481"/>
    <mergeCell ref="K480:K481"/>
    <mergeCell ref="D433:E433"/>
    <mergeCell ref="A455:A457"/>
    <mergeCell ref="B455:B457"/>
    <mergeCell ref="C455:C457"/>
    <mergeCell ref="D479:L479"/>
    <mergeCell ref="U373:U374"/>
    <mergeCell ref="F373:G373"/>
    <mergeCell ref="L373:L374"/>
    <mergeCell ref="Q373:Q374"/>
    <mergeCell ref="R373:R374"/>
    <mergeCell ref="S373:S374"/>
    <mergeCell ref="T373:T374"/>
    <mergeCell ref="H373:H374"/>
    <mergeCell ref="I373:I374"/>
    <mergeCell ref="J373:J374"/>
    <mergeCell ref="K373:K374"/>
    <mergeCell ref="A316:A318"/>
    <mergeCell ref="B316:B318"/>
    <mergeCell ref="C316:C318"/>
    <mergeCell ref="D317:E317"/>
    <mergeCell ref="F317:G317"/>
    <mergeCell ref="L317:L318"/>
    <mergeCell ref="A372:A374"/>
    <mergeCell ref="B372:B374"/>
    <mergeCell ref="C372:C374"/>
    <mergeCell ref="D373:E373"/>
    <mergeCell ref="D372:L372"/>
    <mergeCell ref="A339:A341"/>
    <mergeCell ref="B339:B341"/>
    <mergeCell ref="C339:C341"/>
    <mergeCell ref="D340:E340"/>
    <mergeCell ref="D339:L339"/>
    <mergeCell ref="U340:U341"/>
    <mergeCell ref="F340:G340"/>
    <mergeCell ref="L340:L341"/>
    <mergeCell ref="Q340:Q341"/>
    <mergeCell ref="R340:R341"/>
    <mergeCell ref="S340:S341"/>
    <mergeCell ref="T340:T341"/>
    <mergeCell ref="J340:J341"/>
    <mergeCell ref="K340:K341"/>
    <mergeCell ref="H340:H341"/>
    <mergeCell ref="I340:I341"/>
    <mergeCell ref="C260:C262"/>
    <mergeCell ref="D261:E261"/>
    <mergeCell ref="F261:G261"/>
    <mergeCell ref="U261:U262"/>
    <mergeCell ref="J261:J262"/>
    <mergeCell ref="K261:K262"/>
    <mergeCell ref="J317:J318"/>
    <mergeCell ref="H261:H262"/>
    <mergeCell ref="I261:I262"/>
    <mergeCell ref="H317:H318"/>
    <mergeCell ref="I317:I318"/>
    <mergeCell ref="K317:K318"/>
    <mergeCell ref="R317:R318"/>
    <mergeCell ref="S317:S318"/>
    <mergeCell ref="U317:U318"/>
    <mergeCell ref="D260:L260"/>
    <mergeCell ref="Q260:T260"/>
    <mergeCell ref="D316:L316"/>
    <mergeCell ref="Q316:T316"/>
    <mergeCell ref="A301:A303"/>
    <mergeCell ref="B301:B303"/>
    <mergeCell ref="C301:C303"/>
    <mergeCell ref="D302:E302"/>
    <mergeCell ref="U302:U303"/>
    <mergeCell ref="R302:R303"/>
    <mergeCell ref="S302:S303"/>
    <mergeCell ref="T302:T303"/>
    <mergeCell ref="J302:J303"/>
    <mergeCell ref="K302:K303"/>
    <mergeCell ref="H302:H303"/>
    <mergeCell ref="I302:I303"/>
    <mergeCell ref="D301:L301"/>
    <mergeCell ref="Q301:T301"/>
    <mergeCell ref="F302:G302"/>
    <mergeCell ref="L302:L303"/>
    <mergeCell ref="Q302:Q303"/>
    <mergeCell ref="U247:U248"/>
    <mergeCell ref="F240:S240"/>
    <mergeCell ref="F241:S241"/>
    <mergeCell ref="F243:S243"/>
    <mergeCell ref="J247:J248"/>
    <mergeCell ref="K247:K248"/>
    <mergeCell ref="A246:A248"/>
    <mergeCell ref="B246:B248"/>
    <mergeCell ref="C246:C248"/>
    <mergeCell ref="D246:R246"/>
    <mergeCell ref="S246:U246"/>
    <mergeCell ref="D247:E247"/>
    <mergeCell ref="F247:G247"/>
    <mergeCell ref="F199:S199"/>
    <mergeCell ref="F201:S201"/>
    <mergeCell ref="T183:T184"/>
    <mergeCell ref="A204:A206"/>
    <mergeCell ref="B204:B206"/>
    <mergeCell ref="C204:C206"/>
    <mergeCell ref="D183:E183"/>
    <mergeCell ref="F183:G183"/>
    <mergeCell ref="A182:A184"/>
    <mergeCell ref="B182:B184"/>
    <mergeCell ref="C182:C184"/>
    <mergeCell ref="F205:G205"/>
    <mergeCell ref="L183:L184"/>
    <mergeCell ref="Q183:Q184"/>
    <mergeCell ref="R183:R184"/>
    <mergeCell ref="S183:S184"/>
    <mergeCell ref="L205:L206"/>
    <mergeCell ref="Q205:Q206"/>
    <mergeCell ref="F3:S3"/>
    <mergeCell ref="F4:S4"/>
    <mergeCell ref="F6:S6"/>
    <mergeCell ref="F67:S67"/>
    <mergeCell ref="F69:S69"/>
    <mergeCell ref="C11:C13"/>
    <mergeCell ref="B11:B13"/>
    <mergeCell ref="A11:A13"/>
    <mergeCell ref="U12:U13"/>
    <mergeCell ref="T12:T13"/>
    <mergeCell ref="S12:S13"/>
    <mergeCell ref="R12:R13"/>
    <mergeCell ref="Q12:Q13"/>
    <mergeCell ref="L12:L13"/>
    <mergeCell ref="F12:G12"/>
    <mergeCell ref="D12:E12"/>
    <mergeCell ref="U223:U224"/>
    <mergeCell ref="D205:E205"/>
    <mergeCell ref="J12:J13"/>
    <mergeCell ref="K12:K13"/>
    <mergeCell ref="J125:J126"/>
    <mergeCell ref="K125:K126"/>
    <mergeCell ref="J183:J184"/>
    <mergeCell ref="K183:K184"/>
    <mergeCell ref="J205:J206"/>
    <mergeCell ref="K205:K206"/>
    <mergeCell ref="J223:J224"/>
    <mergeCell ref="K223:K224"/>
    <mergeCell ref="F176:S176"/>
    <mergeCell ref="F177:S177"/>
    <mergeCell ref="F179:S179"/>
    <mergeCell ref="S204:U204"/>
    <mergeCell ref="F216:S216"/>
    <mergeCell ref="F217:S217"/>
    <mergeCell ref="F219:S219"/>
    <mergeCell ref="R205:R206"/>
    <mergeCell ref="S205:S206"/>
    <mergeCell ref="T205:T206"/>
    <mergeCell ref="U205:U206"/>
    <mergeCell ref="F198:S198"/>
    <mergeCell ref="A222:A224"/>
    <mergeCell ref="B222:B224"/>
    <mergeCell ref="C222:C224"/>
    <mergeCell ref="D223:E223"/>
    <mergeCell ref="F223:G223"/>
    <mergeCell ref="Q223:Q224"/>
    <mergeCell ref="R223:R224"/>
    <mergeCell ref="S223:S224"/>
    <mergeCell ref="T223:T224"/>
    <mergeCell ref="D222:L222"/>
    <mergeCell ref="Q222:T222"/>
    <mergeCell ref="L223:L224"/>
    <mergeCell ref="A73:A75"/>
    <mergeCell ref="B73:B75"/>
    <mergeCell ref="C73:C75"/>
    <mergeCell ref="D74:E74"/>
    <mergeCell ref="F74:G74"/>
    <mergeCell ref="H74:H75"/>
    <mergeCell ref="I74:I75"/>
    <mergeCell ref="J74:J75"/>
    <mergeCell ref="K74:K75"/>
    <mergeCell ref="Q339:T339"/>
    <mergeCell ref="S456:S457"/>
    <mergeCell ref="L247:L248"/>
    <mergeCell ref="Q247:Q248"/>
    <mergeCell ref="R247:R248"/>
    <mergeCell ref="S247:S248"/>
    <mergeCell ref="T317:T318"/>
    <mergeCell ref="T247:T248"/>
    <mergeCell ref="L261:L262"/>
    <mergeCell ref="Q261:Q262"/>
    <mergeCell ref="R261:R262"/>
    <mergeCell ref="S261:S262"/>
    <mergeCell ref="T261:T262"/>
    <mergeCell ref="Q317:Q318"/>
    <mergeCell ref="Q372:T372"/>
  </mergeCells>
  <pageMargins left="0.23622047244094491" right="0.23622047244094491" top="0.74803149606299213" bottom="0.74803149606299213" header="0.31496062992125984" footer="0.31496062992125984"/>
  <pageSetup paperSize="9" scale="10" orientation="landscape" r:id="rId1"/>
  <rowBreaks count="9" manualBreakCount="9">
    <brk id="65" max="9" man="1"/>
    <brk id="174" max="9" man="1"/>
    <brk id="215" max="9" man="1"/>
    <brk id="257" max="9" man="1"/>
    <brk id="299" max="9" man="1"/>
    <brk id="337" max="9" man="1"/>
    <brk id="364" max="9" man="1"/>
    <brk id="429" max="9" man="1"/>
    <brk id="477" max="9" man="1"/>
  </rowBreaks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P29"/>
  <sheetViews>
    <sheetView tabSelected="1" topLeftCell="A19" workbookViewId="0">
      <selection activeCell="I34" sqref="I34"/>
    </sheetView>
  </sheetViews>
  <sheetFormatPr defaultRowHeight="15"/>
  <cols>
    <col min="1" max="1" width="5.85546875" customWidth="1"/>
    <col min="2" max="2" width="32.28515625" customWidth="1"/>
    <col min="3" max="3" width="11.140625" customWidth="1"/>
    <col min="8" max="8" width="10.5703125" customWidth="1"/>
    <col min="9" max="9" width="13" customWidth="1"/>
    <col min="10" max="10" width="11.140625" customWidth="1"/>
    <col min="11" max="11" width="11" customWidth="1"/>
    <col min="13" max="13" width="10" bestFit="1" customWidth="1"/>
    <col min="14" max="14" width="9.85546875" customWidth="1"/>
    <col min="15" max="15" width="10.5703125" customWidth="1"/>
    <col min="16" max="16" width="19.7109375" customWidth="1"/>
  </cols>
  <sheetData>
    <row r="1" spans="1:16">
      <c r="A1" s="57" t="s">
        <v>1535</v>
      </c>
      <c r="B1" s="57"/>
    </row>
    <row r="2" spans="1:16" ht="16.5" thickBot="1">
      <c r="C2" s="3385" t="s">
        <v>1795</v>
      </c>
      <c r="D2" s="3385"/>
      <c r="E2" s="3385"/>
      <c r="F2" s="3385"/>
      <c r="G2" s="3385"/>
      <c r="H2" s="3385"/>
      <c r="I2" s="3385"/>
      <c r="J2" s="3385"/>
      <c r="K2" s="3385"/>
      <c r="L2" s="3385"/>
    </row>
    <row r="3" spans="1:16" ht="40.5" customHeight="1" thickBot="1">
      <c r="A3" s="3648" t="s">
        <v>0</v>
      </c>
      <c r="B3" s="3383" t="s">
        <v>1</v>
      </c>
      <c r="C3" s="3458" t="s">
        <v>2</v>
      </c>
      <c r="D3" s="3432" t="s">
        <v>1401</v>
      </c>
      <c r="E3" s="3434"/>
      <c r="F3" s="3647" t="s">
        <v>1402</v>
      </c>
      <c r="G3" s="3647"/>
      <c r="H3" s="3052" t="s">
        <v>1517</v>
      </c>
      <c r="I3" s="3051" t="s">
        <v>1518</v>
      </c>
      <c r="J3" s="3433" t="s">
        <v>1403</v>
      </c>
      <c r="K3" s="3433"/>
      <c r="L3" s="3434"/>
      <c r="M3" s="3647" t="s">
        <v>1404</v>
      </c>
      <c r="N3" s="3647"/>
      <c r="O3" s="3647"/>
      <c r="P3" s="3383" t="s">
        <v>1405</v>
      </c>
    </row>
    <row r="4" spans="1:16" ht="17.25" customHeight="1" thickBot="1">
      <c r="A4" s="3649"/>
      <c r="B4" s="3384"/>
      <c r="C4" s="3557"/>
      <c r="D4" s="2272" t="s">
        <v>5</v>
      </c>
      <c r="E4" s="2300" t="s">
        <v>6</v>
      </c>
      <c r="F4" s="2272" t="s">
        <v>5</v>
      </c>
      <c r="G4" s="2387" t="s">
        <v>798</v>
      </c>
      <c r="H4" s="2272" t="s">
        <v>6</v>
      </c>
      <c r="I4" s="2411" t="s">
        <v>8</v>
      </c>
      <c r="J4" s="2300">
        <v>2016</v>
      </c>
      <c r="K4" s="2272">
        <v>2017</v>
      </c>
      <c r="L4" s="2272">
        <v>2018</v>
      </c>
      <c r="M4" s="2272">
        <v>2016</v>
      </c>
      <c r="N4" s="2272">
        <v>2017</v>
      </c>
      <c r="O4" s="2272">
        <v>2018</v>
      </c>
      <c r="P4" s="3384"/>
    </row>
    <row r="5" spans="1:16">
      <c r="A5" s="2280">
        <v>1</v>
      </c>
      <c r="B5" s="2281" t="s">
        <v>1400</v>
      </c>
      <c r="C5" s="2281"/>
      <c r="D5" s="485"/>
      <c r="E5" s="485"/>
      <c r="F5" s="485"/>
      <c r="G5" s="485"/>
      <c r="H5" s="2408"/>
      <c r="I5" s="2408"/>
      <c r="J5" s="485"/>
      <c r="K5" s="485"/>
      <c r="L5" s="485"/>
      <c r="M5" s="485"/>
      <c r="N5" s="485"/>
      <c r="O5" s="485"/>
      <c r="P5" s="25"/>
    </row>
    <row r="6" spans="1:16" ht="46.5" customHeight="1">
      <c r="A6" s="3062">
        <v>2</v>
      </c>
      <c r="B6" s="3063" t="s">
        <v>1406</v>
      </c>
      <c r="C6" s="3060"/>
      <c r="D6" s="3061"/>
      <c r="E6" s="3061"/>
      <c r="F6" s="3061"/>
      <c r="G6" s="3061"/>
      <c r="H6" s="3061"/>
      <c r="I6" s="3061"/>
      <c r="J6" s="3061"/>
      <c r="K6" s="3061"/>
      <c r="L6" s="3061"/>
      <c r="M6" s="3061">
        <f>M7+M8+M9+M10+M11</f>
        <v>119369.50570887982</v>
      </c>
      <c r="N6" s="3061">
        <f>N7+N8+N9+N10+N11+N12</f>
        <v>169254.27634344259</v>
      </c>
      <c r="O6" s="3061">
        <f>O7+O8+O9+O10+O11+O12</f>
        <v>169689.79662615605</v>
      </c>
      <c r="P6" s="3060"/>
    </row>
    <row r="7" spans="1:16">
      <c r="A7" s="2282" t="s">
        <v>52</v>
      </c>
      <c r="B7" s="75" t="s">
        <v>1407</v>
      </c>
      <c r="C7" s="1"/>
      <c r="D7" s="416">
        <f>'[6]Смета ВО_2016'!D17</f>
        <v>2885.0891940000001</v>
      </c>
      <c r="E7" s="416">
        <f>'[6]Смета ВО_2016'!E17</f>
        <v>1409.3519550000001</v>
      </c>
      <c r="F7" s="416">
        <f>'[6]Смета ВО_2016'!F17</f>
        <v>1815.6193880000003</v>
      </c>
      <c r="G7" s="416">
        <f>'[6]Смета ВО_2016'!G17</f>
        <v>1587.7639999999999</v>
      </c>
      <c r="H7" s="2409">
        <f>'Смета ВС_2016'!H17</f>
        <v>2627.95</v>
      </c>
      <c r="I7" s="2409">
        <f>'Смета ВС_2016'!I17</f>
        <v>4391.75</v>
      </c>
      <c r="J7" s="416">
        <f>'[6]Смета ВО_2016'!H17</f>
        <v>1651.1969516000004</v>
      </c>
      <c r="K7" s="416">
        <f>'[6]Смета ВО_2016'!I17</f>
        <v>1722.2382205188001</v>
      </c>
      <c r="L7" s="416">
        <f>'[6]Смета ВО_2016'!J17</f>
        <v>1796.3299640011082</v>
      </c>
      <c r="M7" s="416">
        <f>'расшифровки ВО_2016'!Q196</f>
        <v>1844.3895</v>
      </c>
      <c r="N7" s="416">
        <f>'расшифровки ВО_2016'!R196</f>
        <v>1899.7211850000003</v>
      </c>
      <c r="O7" s="416">
        <f>'расшифровки ВО_2016'!S196</f>
        <v>1956.7128205500003</v>
      </c>
      <c r="P7" s="1"/>
    </row>
    <row r="8" spans="1:16">
      <c r="A8" s="2282" t="s">
        <v>54</v>
      </c>
      <c r="B8" s="75" t="s">
        <v>1761</v>
      </c>
      <c r="C8" s="1"/>
      <c r="D8" s="416">
        <f>'[6]Смета ВО_2016'!D18</f>
        <v>0</v>
      </c>
      <c r="E8" s="416">
        <f>'[6]Смета ВО_2016'!E18</f>
        <v>0</v>
      </c>
      <c r="F8" s="416">
        <f>'[6]Смета ВО_2016'!F18</f>
        <v>0</v>
      </c>
      <c r="G8" s="416">
        <f>'[6]Смета ВО_2016'!G18</f>
        <v>0</v>
      </c>
      <c r="H8" s="2409">
        <f>'Смета ВО_2016'!H17</f>
        <v>1046.3900000000001</v>
      </c>
      <c r="I8" s="2409">
        <f>'Смета ВО_2016'!I17</f>
        <v>1705.8299999999997</v>
      </c>
      <c r="J8" s="416">
        <f>'Смета ВО_2016'!J17</f>
        <v>1779.77</v>
      </c>
      <c r="K8" s="416">
        <f>'Смета ВО_2016'!K17</f>
        <v>1856.3400751565762</v>
      </c>
      <c r="L8" s="416">
        <f>'Смета ВО_2016'!L17</f>
        <v>1936.1226983883089</v>
      </c>
      <c r="M8" s="416">
        <f>'расшифровки ВО_2016'!Q238</f>
        <v>525.21953887987195</v>
      </c>
      <c r="N8" s="416">
        <f>'расшифровки ВО_2016'!R238</f>
        <v>562.33353594258324</v>
      </c>
      <c r="O8" s="416">
        <f>'расшифровки ВО_2016'!S238</f>
        <v>594.48754541103983</v>
      </c>
      <c r="P8" s="1"/>
    </row>
    <row r="9" spans="1:16" ht="17.25" customHeight="1">
      <c r="A9" s="2282" t="s">
        <v>436</v>
      </c>
      <c r="B9" s="2283" t="s">
        <v>1490</v>
      </c>
      <c r="C9" s="1"/>
      <c r="D9" s="416"/>
      <c r="E9" s="416"/>
      <c r="F9" s="416"/>
      <c r="G9" s="416"/>
      <c r="H9" s="2409"/>
      <c r="I9" s="2409"/>
      <c r="J9" s="416"/>
      <c r="K9" s="416"/>
      <c r="L9" s="416"/>
      <c r="M9" s="416">
        <f>'расшифровки ВО_2016'!Q293</f>
        <v>1097.3136</v>
      </c>
      <c r="N9" s="416">
        <f>'расшифровки ВО_2016'!R293</f>
        <v>1205.8503500000002</v>
      </c>
      <c r="O9" s="416">
        <f>'расшифровки ВО_2016'!S293</f>
        <v>1289.0071600000001</v>
      </c>
      <c r="P9" s="1"/>
    </row>
    <row r="10" spans="1:16" ht="30">
      <c r="A10" s="2282" t="s">
        <v>438</v>
      </c>
      <c r="B10" s="2283" t="s">
        <v>1491</v>
      </c>
      <c r="C10" s="1"/>
      <c r="D10" s="416">
        <f>'[6]расшифровки ВО_2016'!D225</f>
        <v>1168.3815099999999</v>
      </c>
      <c r="E10" s="416">
        <f>'[6]расшифровки ВО_2016'!E225</f>
        <v>893.68407000000002</v>
      </c>
      <c r="F10" s="416">
        <f>'[6]расшифровки ВО_2016'!F225</f>
        <v>948.27060000000006</v>
      </c>
      <c r="G10" s="416">
        <f>'[6]расшифровки ВО_2016'!G225</f>
        <v>883.76938999999993</v>
      </c>
      <c r="H10" s="2409">
        <f>'расшифровки ВО_2016'!H293</f>
        <v>548.04178999999999</v>
      </c>
      <c r="I10" s="2409">
        <f>'расшифровки ВО_2016'!I293</f>
        <v>1277.0371400000001</v>
      </c>
      <c r="J10" s="416">
        <f>'[6]расшифровки ВО_2016'!H225</f>
        <v>926.07092215</v>
      </c>
      <c r="K10" s="416">
        <f>'[6]расшифровки ВО_2016'!I225</f>
        <v>959.88071869304974</v>
      </c>
      <c r="L10" s="416">
        <f>'[6]расшифровки ВО_2016'!J225</f>
        <v>1004.6709912635047</v>
      </c>
      <c r="M10" s="416">
        <f>'расшифровки ВО_2016'!Q280</f>
        <v>8349.9430699999994</v>
      </c>
      <c r="N10" s="416">
        <f>'расшифровки ВО_2016'!R280</f>
        <v>8586.3712725000005</v>
      </c>
      <c r="O10" s="416">
        <f>'расшифровки ВО_2016'!S280</f>
        <v>8849.5891001950004</v>
      </c>
      <c r="P10" s="1"/>
    </row>
    <row r="11" spans="1:16" ht="45">
      <c r="A11" s="2282" t="s">
        <v>1762</v>
      </c>
      <c r="B11" s="2283" t="s">
        <v>1763</v>
      </c>
      <c r="C11" s="1"/>
      <c r="D11" s="416"/>
      <c r="E11" s="416"/>
      <c r="F11" s="416"/>
      <c r="G11" s="416"/>
      <c r="H11" s="2409"/>
      <c r="I11" s="2409"/>
      <c r="J11" s="416"/>
      <c r="K11" s="416"/>
      <c r="L11" s="416"/>
      <c r="M11" s="408">
        <f>'расшифровки ВО_2016'!Q294</f>
        <v>107552.63999999996</v>
      </c>
      <c r="N11" s="416">
        <f>'расшифровки ВО_2016'!R294</f>
        <v>0</v>
      </c>
      <c r="O11" s="416">
        <f>'расшифровки ВО_2016'!S294</f>
        <v>0</v>
      </c>
      <c r="P11" s="1"/>
    </row>
    <row r="12" spans="1:16">
      <c r="A12" s="2282"/>
      <c r="B12" s="2283" t="s">
        <v>1766</v>
      </c>
      <c r="C12" s="1"/>
      <c r="D12" s="416"/>
      <c r="E12" s="416"/>
      <c r="F12" s="416"/>
      <c r="G12" s="416"/>
      <c r="H12" s="2409"/>
      <c r="I12" s="2409"/>
      <c r="J12" s="416"/>
      <c r="K12" s="416"/>
      <c r="L12" s="416"/>
      <c r="M12" s="416"/>
      <c r="N12" s="408">
        <f>'расшифровки ВО_2016'!R295</f>
        <v>157000</v>
      </c>
      <c r="O12" s="408">
        <f>'расшифровки ВО_2016'!S295</f>
        <v>157000</v>
      </c>
      <c r="P12" s="1"/>
    </row>
    <row r="13" spans="1:16">
      <c r="A13" s="3058" t="s">
        <v>161</v>
      </c>
      <c r="B13" s="3059" t="s">
        <v>1171</v>
      </c>
      <c r="C13" s="3060"/>
      <c r="D13" s="3061"/>
      <c r="E13" s="3061"/>
      <c r="F13" s="3061"/>
      <c r="G13" s="3061"/>
      <c r="H13" s="3061"/>
      <c r="I13" s="3061"/>
      <c r="J13" s="3061"/>
      <c r="K13" s="3061"/>
      <c r="L13" s="3061"/>
      <c r="M13" s="3061">
        <f>M14+M15+M16+M17+M18+M20+M21</f>
        <v>31472</v>
      </c>
      <c r="N13" s="3061">
        <f t="shared" ref="N13:O13" si="0">N14+N15+N16+N17+N18+N20+N21</f>
        <v>53985.179223716797</v>
      </c>
      <c r="O13" s="3061">
        <f t="shared" si="0"/>
        <v>57799.377233273037</v>
      </c>
      <c r="P13" s="3060"/>
    </row>
    <row r="14" spans="1:16">
      <c r="A14" s="2282" t="s">
        <v>64</v>
      </c>
      <c r="B14" s="2283" t="s">
        <v>505</v>
      </c>
      <c r="C14" s="1"/>
      <c r="D14" s="416"/>
      <c r="E14" s="416"/>
      <c r="F14" s="416"/>
      <c r="G14" s="416"/>
      <c r="H14" s="2409"/>
      <c r="I14" s="2409"/>
      <c r="J14" s="416"/>
      <c r="K14" s="416"/>
      <c r="L14" s="416"/>
      <c r="M14" s="416">
        <f>'Расчёт ВО методом индексаци '!O17*0.2</f>
        <v>1776</v>
      </c>
      <c r="N14" s="416">
        <f>'Расчёт ВО методом индексаци '!P17*0.2</f>
        <v>2003.6000000000001</v>
      </c>
      <c r="O14" s="416">
        <f>'Расчёт ВО методом индексаци '!Q17*0.2</f>
        <v>5314</v>
      </c>
      <c r="P14" s="1"/>
    </row>
    <row r="15" spans="1:16">
      <c r="A15" s="2282" t="s">
        <v>80</v>
      </c>
      <c r="B15" s="75" t="s">
        <v>119</v>
      </c>
      <c r="C15" s="1"/>
      <c r="D15" s="416">
        <f>'[6]расшифровки ВО_2016'!D404</f>
        <v>10000</v>
      </c>
      <c r="E15" s="416">
        <f>[6]налоги!C106</f>
        <v>9287.7976799999997</v>
      </c>
      <c r="F15" s="416">
        <f>'[6]расшифровки ВО_2016'!F404</f>
        <v>10000</v>
      </c>
      <c r="G15" s="416">
        <f>'[6]расшифровки ВО_2016'!G404</f>
        <v>9752.1875639999998</v>
      </c>
      <c r="H15" s="2409">
        <f>'расшифровки ВО_2016'!H460</f>
        <v>4381.9133759999995</v>
      </c>
      <c r="I15" s="2409">
        <f>'расшифровки ВО_2016'!I460</f>
        <v>15721.854557666666</v>
      </c>
      <c r="J15" s="416">
        <f>'расшифровки ВО_2016'!J460</f>
        <v>45072.691396975999</v>
      </c>
      <c r="K15" s="416">
        <f>'расшифровки ВО_2016'!K460</f>
        <v>45552.499025124802</v>
      </c>
      <c r="L15" s="416">
        <f>'расшифровки ВО_2016'!L460</f>
        <v>46056.29703468104</v>
      </c>
      <c r="M15" s="416">
        <f>'расшифровки ВО_2016'!Q460</f>
        <v>24370</v>
      </c>
      <c r="N15" s="416">
        <f>'расшифровки ВО_2016'!R460</f>
        <v>45552.499025124802</v>
      </c>
      <c r="O15" s="416">
        <f>'расшифровки ВО_2016'!S460</f>
        <v>46056.29703468104</v>
      </c>
      <c r="P15" s="1"/>
    </row>
    <row r="16" spans="1:16" ht="30">
      <c r="A16" s="2282" t="s">
        <v>86</v>
      </c>
      <c r="B16" s="2283" t="s">
        <v>1416</v>
      </c>
      <c r="C16" s="1"/>
      <c r="D16" s="416">
        <f>'[6]расшифровки ВО_2016'!D409</f>
        <v>1893.318912</v>
      </c>
      <c r="E16" s="416">
        <f>'[6]расшифровки ВО_2016'!E409</f>
        <v>3219</v>
      </c>
      <c r="F16" s="416">
        <f>'[6]расшифровки ВО_2016'!F409</f>
        <v>5326</v>
      </c>
      <c r="G16" s="416">
        <f>'[6]расшифровки ВО_2016'!G409</f>
        <v>3977.5001999999995</v>
      </c>
      <c r="H16" s="2409">
        <f>'расшифровки ВО_2016'!H465</f>
        <v>3151.2009599999997</v>
      </c>
      <c r="I16" s="2409">
        <f>'расшифровки ВО_2016'!I465</f>
        <v>6302.4019199999993</v>
      </c>
      <c r="J16" s="416">
        <f>'расшифровки ВО_2016'!J465</f>
        <v>6365.4259391999994</v>
      </c>
      <c r="K16" s="416">
        <f>'расшифровки ВО_2016'!K465</f>
        <v>6429.0801985919998</v>
      </c>
      <c r="L16" s="416">
        <f>'расшифровки ВО_2016'!L465</f>
        <v>6493.3710005779203</v>
      </c>
      <c r="M16" s="416">
        <f>'расшифровки ВО_2016'!Q465</f>
        <v>5326</v>
      </c>
      <c r="N16" s="416">
        <f>'расшифровки ВО_2016'!R465</f>
        <v>6429.0801985919998</v>
      </c>
      <c r="O16" s="416">
        <f>'расшифровки ВО_2016'!S465</f>
        <v>6429.0801985919998</v>
      </c>
      <c r="P16" s="1"/>
    </row>
    <row r="17" spans="1:16">
      <c r="A17" s="2282" t="s">
        <v>88</v>
      </c>
      <c r="B17" s="75" t="s">
        <v>1173</v>
      </c>
      <c r="C17" s="1"/>
      <c r="D17" s="416">
        <f>'[6]расшифровки ВО_2016'!D406</f>
        <v>2310.1759999999999</v>
      </c>
      <c r="E17" s="416">
        <f>'[6]расшифровки ВО_2016'!E406</f>
        <v>3506</v>
      </c>
      <c r="F17" s="416">
        <f>'[6]расшифровки ВО_2016'!F406</f>
        <v>2310.1759999999999</v>
      </c>
      <c r="G17" s="416">
        <f>'[6]расшифровки ВО_2016'!G406</f>
        <v>0</v>
      </c>
      <c r="H17" s="2409">
        <v>0</v>
      </c>
      <c r="I17" s="2409">
        <v>0</v>
      </c>
      <c r="J17" s="416">
        <f>'[6]расшифровки ВО_2016'!H406</f>
        <v>0</v>
      </c>
      <c r="K17" s="416">
        <f>'[6]расшифровки ВО_2016'!I406</f>
        <v>0</v>
      </c>
      <c r="L17" s="416">
        <f>'[6]расшифровки ВО_2016'!J406</f>
        <v>0</v>
      </c>
      <c r="M17" s="416">
        <v>0</v>
      </c>
      <c r="N17" s="416">
        <v>0</v>
      </c>
      <c r="O17" s="416">
        <v>0</v>
      </c>
      <c r="P17" s="1"/>
    </row>
    <row r="18" spans="1:16" ht="30">
      <c r="A18" s="2282" t="s">
        <v>90</v>
      </c>
      <c r="B18" s="2283" t="s">
        <v>1417</v>
      </c>
      <c r="C18" s="1"/>
      <c r="D18" s="416"/>
      <c r="E18" s="416"/>
      <c r="F18" s="416"/>
      <c r="G18" s="416"/>
      <c r="H18" s="2409"/>
      <c r="I18" s="2409"/>
      <c r="J18" s="416"/>
      <c r="K18" s="416"/>
      <c r="L18" s="416"/>
      <c r="M18" s="416">
        <v>0</v>
      </c>
      <c r="N18" s="416">
        <v>0</v>
      </c>
      <c r="O18" s="416">
        <v>0</v>
      </c>
      <c r="P18" s="1"/>
    </row>
    <row r="19" spans="1:16">
      <c r="A19" s="2282" t="s">
        <v>92</v>
      </c>
      <c r="B19" s="75" t="s">
        <v>127</v>
      </c>
      <c r="C19" s="1"/>
      <c r="D19" s="416">
        <f>'[6]расшифровки ВО_2016'!D410</f>
        <v>188.16</v>
      </c>
      <c r="E19" s="416">
        <f>'[6]расшифровки ВО_2016'!E410</f>
        <v>271.01</v>
      </c>
      <c r="F19" s="416">
        <f>'[6]расшифровки ВО_2016'!F410</f>
        <v>217</v>
      </c>
      <c r="G19" s="416">
        <f>'[6]расшифровки ВО_2016'!G410</f>
        <v>284.56049999999999</v>
      </c>
      <c r="H19" s="2409">
        <f>'расшифровки ВО_2016'!H466</f>
        <v>155.98643519999999</v>
      </c>
      <c r="I19" s="2409">
        <f>'расшифровки ВО_2016'!I466</f>
        <v>311.97287039999998</v>
      </c>
      <c r="J19" s="416">
        <f>'расшифровки ВО_2016'!J466</f>
        <v>315.09259910399999</v>
      </c>
      <c r="K19" s="416">
        <f>'расшифровки ВО_2016'!K466</f>
        <v>318.24352509504001</v>
      </c>
      <c r="L19" s="416">
        <f>'расшифровки ВО_2016'!L466</f>
        <v>321.42596034599035</v>
      </c>
      <c r="M19" s="416">
        <f>'расшифровки ВО_2016'!Q466</f>
        <v>315.09259910399999</v>
      </c>
      <c r="N19" s="416">
        <f>'расшифровки ВО_2016'!R466</f>
        <v>318.24352509504001</v>
      </c>
      <c r="O19" s="416">
        <f>'расшифровки ВО_2016'!S466</f>
        <v>321.42596034599035</v>
      </c>
      <c r="P19" s="1"/>
    </row>
    <row r="20" spans="1:16" ht="30">
      <c r="A20" s="2282" t="s">
        <v>94</v>
      </c>
      <c r="B20" s="2283" t="s">
        <v>121</v>
      </c>
      <c r="C20" s="1"/>
      <c r="D20" s="416">
        <f>'[6]расшифровки ВО_2016'!D405</f>
        <v>417.88</v>
      </c>
      <c r="E20" s="416">
        <f>'[6]расшифровки ВО_2016'!E405</f>
        <v>2836</v>
      </c>
      <c r="F20" s="416">
        <f>'[6]расшифровки ВО_2016'!F405</f>
        <v>1475.41</v>
      </c>
      <c r="G20" s="416">
        <f>'[6]расшифровки ВО_2016'!G405</f>
        <v>0</v>
      </c>
      <c r="H20" s="2409"/>
      <c r="I20" s="2409"/>
      <c r="J20" s="416">
        <f>'[6]расшифровки ВО_2016'!H405</f>
        <v>0</v>
      </c>
      <c r="K20" s="416">
        <f>'[6]расшифровки ВО_2016'!I405</f>
        <v>0</v>
      </c>
      <c r="L20" s="416">
        <f>'[6]расшифровки ВО_2016'!J405</f>
        <v>0</v>
      </c>
      <c r="M20" s="416">
        <v>0</v>
      </c>
      <c r="N20" s="416">
        <v>0</v>
      </c>
      <c r="O20" s="416">
        <v>0</v>
      </c>
      <c r="P20" s="1"/>
    </row>
    <row r="21" spans="1:16">
      <c r="A21" s="2282" t="s">
        <v>1418</v>
      </c>
      <c r="B21" s="75" t="s">
        <v>1419</v>
      </c>
      <c r="C21" s="1"/>
      <c r="D21" s="416"/>
      <c r="E21" s="416"/>
      <c r="F21" s="416"/>
      <c r="G21" s="416"/>
      <c r="H21" s="2409"/>
      <c r="I21" s="2409"/>
      <c r="J21" s="416"/>
      <c r="K21" s="416"/>
      <c r="L21" s="416"/>
      <c r="M21" s="416"/>
      <c r="N21" s="416"/>
      <c r="O21" s="416"/>
      <c r="P21" s="1"/>
    </row>
    <row r="22" spans="1:16" ht="30" hidden="1">
      <c r="A22" s="3053">
        <v>4</v>
      </c>
      <c r="B22" s="3054" t="s">
        <v>1420</v>
      </c>
      <c r="C22" s="3055"/>
      <c r="D22" s="3056"/>
      <c r="E22" s="3056"/>
      <c r="F22" s="3056"/>
      <c r="G22" s="3056"/>
      <c r="H22" s="3056"/>
      <c r="I22" s="3056"/>
      <c r="J22" s="3056"/>
      <c r="K22" s="3056"/>
      <c r="L22" s="3056"/>
      <c r="M22" s="3056">
        <v>0</v>
      </c>
      <c r="N22" s="3056">
        <v>0</v>
      </c>
      <c r="O22" s="3056">
        <v>0</v>
      </c>
      <c r="P22" s="3055"/>
    </row>
    <row r="23" spans="1:16" ht="30">
      <c r="A23" s="3053">
        <v>5</v>
      </c>
      <c r="B23" s="3054" t="s">
        <v>1421</v>
      </c>
      <c r="C23" s="3055"/>
      <c r="D23" s="3056"/>
      <c r="E23" s="3056"/>
      <c r="F23" s="3056"/>
      <c r="G23" s="3056"/>
      <c r="H23" s="3056"/>
      <c r="I23" s="3056"/>
      <c r="J23" s="3056"/>
      <c r="K23" s="3056"/>
      <c r="L23" s="3056"/>
      <c r="M23" s="3056">
        <f>M24</f>
        <v>3449.4655256599995</v>
      </c>
      <c r="N23" s="3056">
        <f t="shared" ref="N23:O23" si="1">N24</f>
        <v>3597.7925432633792</v>
      </c>
      <c r="O23" s="3056">
        <f t="shared" si="1"/>
        <v>3597.7925432633792</v>
      </c>
      <c r="P23" s="3055"/>
    </row>
    <row r="24" spans="1:16" ht="30">
      <c r="A24" s="2282" t="s">
        <v>105</v>
      </c>
      <c r="B24" s="2283" t="s">
        <v>1454</v>
      </c>
      <c r="C24" s="1"/>
      <c r="D24" s="416">
        <f>'[6]расшифровки ВО_2016'!D441</f>
        <v>0</v>
      </c>
      <c r="E24" s="416">
        <f>'[6]расшифровки ВО_2016'!E441</f>
        <v>3164.8359999999998</v>
      </c>
      <c r="F24" s="416">
        <f>'[6]расшифровки ВО_2016'!F441</f>
        <v>3100.0010717999999</v>
      </c>
      <c r="G24" s="416">
        <f>'[6]расшифровки ВО_2016'!G441</f>
        <v>3307.2536199999995</v>
      </c>
      <c r="H24" s="2409">
        <f>'расшифровки ВО_2016'!H497</f>
        <v>1653.6268099999998</v>
      </c>
      <c r="I24" s="2409">
        <f>'расшифровки ВО_2016'!I497</f>
        <v>3307.2536199999995</v>
      </c>
      <c r="J24" s="479">
        <f>'расшифровки ВО_2016'!J497</f>
        <v>3449.4655256599995</v>
      </c>
      <c r="K24" s="479">
        <f>'расшифровки ВО_2016'!K497</f>
        <v>3597.7925432633792</v>
      </c>
      <c r="L24" s="479">
        <f>'расшифровки ВО_2016'!L497</f>
        <v>3597.7925432633792</v>
      </c>
      <c r="M24" s="479">
        <f>'расшифровки ВО_2016'!Q497</f>
        <v>3449.4655256599995</v>
      </c>
      <c r="N24" s="479">
        <f>'расшифровки ВО_2016'!R497</f>
        <v>3597.7925432633792</v>
      </c>
      <c r="O24" s="479">
        <f>'расшифровки ВО_2016'!S497</f>
        <v>3597.7925432633792</v>
      </c>
      <c r="P24" s="1"/>
    </row>
    <row r="25" spans="1:16" ht="23.25" hidden="1">
      <c r="A25" s="3053">
        <v>8</v>
      </c>
      <c r="B25" s="3057" t="s">
        <v>1424</v>
      </c>
      <c r="C25" s="3055"/>
      <c r="D25" s="3056"/>
      <c r="E25" s="3056"/>
      <c r="F25" s="3056"/>
      <c r="G25" s="3056"/>
      <c r="H25" s="3056"/>
      <c r="I25" s="3056"/>
      <c r="J25" s="3056"/>
      <c r="K25" s="3056"/>
      <c r="L25" s="3056"/>
      <c r="M25" s="3056"/>
      <c r="N25" s="3056"/>
      <c r="O25" s="3056"/>
      <c r="P25" s="3055"/>
    </row>
    <row r="26" spans="1:16" ht="30">
      <c r="A26" s="3053">
        <v>9</v>
      </c>
      <c r="B26" s="3054" t="s">
        <v>1425</v>
      </c>
      <c r="C26" s="3055"/>
      <c r="D26" s="3056"/>
      <c r="E26" s="3056"/>
      <c r="F26" s="3056"/>
      <c r="G26" s="3056"/>
      <c r="H26" s="3056"/>
      <c r="I26" s="3056"/>
      <c r="J26" s="3056"/>
      <c r="K26" s="3056"/>
      <c r="L26" s="3056"/>
      <c r="M26" s="3056">
        <f>M27+M28</f>
        <v>17046.227650000001</v>
      </c>
      <c r="N26" s="3056">
        <f t="shared" ref="N26:O26" si="2">N27+N28</f>
        <v>7702.916512499999</v>
      </c>
      <c r="O26" s="3056">
        <f t="shared" si="2"/>
        <v>3851.4582562499995</v>
      </c>
      <c r="P26" s="3055"/>
    </row>
    <row r="27" spans="1:16">
      <c r="A27" s="2282" t="s">
        <v>377</v>
      </c>
      <c r="B27" s="75" t="s">
        <v>1426</v>
      </c>
      <c r="C27" s="1"/>
      <c r="D27" s="416"/>
      <c r="E27" s="416"/>
      <c r="F27" s="416"/>
      <c r="G27" s="416"/>
      <c r="H27" s="2409"/>
      <c r="I27" s="2409"/>
      <c r="J27" s="416"/>
      <c r="K27" s="416"/>
      <c r="L27" s="416"/>
      <c r="M27" s="416"/>
      <c r="N27" s="416"/>
      <c r="O27" s="416"/>
      <c r="P27" s="1"/>
    </row>
    <row r="28" spans="1:16">
      <c r="A28" s="2301" t="s">
        <v>379</v>
      </c>
      <c r="B28" s="2302" t="s">
        <v>1427</v>
      </c>
      <c r="C28" s="27"/>
      <c r="D28" s="427">
        <f>'[6]расшифровки ВО_2016'!D255</f>
        <v>4756.0175440640005</v>
      </c>
      <c r="E28" s="427">
        <f>'[6]расшифровки ВО_2016'!E255</f>
        <v>4581.8544556097995</v>
      </c>
      <c r="F28" s="427">
        <f>'[6]расшифровки ВО_2016'!F255</f>
        <v>10180.365649920001</v>
      </c>
      <c r="G28" s="427">
        <f>'[6]расшифровки ВО_2016'!G255</f>
        <v>13109.711537338982</v>
      </c>
      <c r="H28" s="2410">
        <f>'Смета ВО_2016'!H26</f>
        <v>5417.9869123729995</v>
      </c>
      <c r="I28" s="2410">
        <f>'Смета ВО_2016'!I26</f>
        <v>9884.824734877162</v>
      </c>
      <c r="J28" s="480">
        <f>'Смета ВО_2016'!J26</f>
        <v>17046.227650000001</v>
      </c>
      <c r="K28" s="480">
        <f>'Смета ВО_2016'!K26</f>
        <v>7702.916512499999</v>
      </c>
      <c r="L28" s="480">
        <f>'Смета ВО_2016'!L26</f>
        <v>3851.4582562499995</v>
      </c>
      <c r="M28" s="427">
        <f>'расшифровки ВО_2016'!Q311</f>
        <v>17046.227650000001</v>
      </c>
      <c r="N28" s="427">
        <f>'расшифровки ВО_2016'!R311</f>
        <v>7702.916512499999</v>
      </c>
      <c r="O28" s="427">
        <f>'расшифровки ВО_2016'!S311</f>
        <v>3851.4582562499995</v>
      </c>
      <c r="P28" s="27"/>
    </row>
    <row r="29" spans="1:16">
      <c r="A29" s="70"/>
      <c r="B29" s="3064" t="s">
        <v>1428</v>
      </c>
      <c r="C29" s="70"/>
      <c r="D29" s="2529">
        <f t="shared" ref="D29:L29" si="3">SUM(D7:D28)</f>
        <v>23619.023160064004</v>
      </c>
      <c r="E29" s="2529">
        <f t="shared" si="3"/>
        <v>29169.534160609797</v>
      </c>
      <c r="F29" s="2529">
        <f t="shared" si="3"/>
        <v>35372.842709720004</v>
      </c>
      <c r="G29" s="2529">
        <f t="shared" si="3"/>
        <v>32902.746811338977</v>
      </c>
      <c r="H29" s="2529">
        <f t="shared" si="3"/>
        <v>18983.096283572999</v>
      </c>
      <c r="I29" s="2529">
        <f t="shared" si="3"/>
        <v>42902.92484294383</v>
      </c>
      <c r="J29" s="2529">
        <f t="shared" si="3"/>
        <v>76605.940984690009</v>
      </c>
      <c r="K29" s="2529">
        <f t="shared" si="3"/>
        <v>68138.990818943639</v>
      </c>
      <c r="L29" s="2529">
        <f t="shared" si="3"/>
        <v>65057.468448771251</v>
      </c>
      <c r="M29" s="2529">
        <f>M6+M13+M22+M23+M26</f>
        <v>171337.19888453983</v>
      </c>
      <c r="N29" s="2529">
        <f>N6+N13+N22+N23+N26</f>
        <v>234540.16462292278</v>
      </c>
      <c r="O29" s="2529">
        <f>O6+O13+O22+O23+O26</f>
        <v>234938.42465894244</v>
      </c>
      <c r="P29" s="70"/>
    </row>
  </sheetData>
  <mergeCells count="9">
    <mergeCell ref="M3:O3"/>
    <mergeCell ref="P3:P4"/>
    <mergeCell ref="C2:L2"/>
    <mergeCell ref="A3:A4"/>
    <mergeCell ref="B3:B4"/>
    <mergeCell ref="C3:C4"/>
    <mergeCell ref="D3:E3"/>
    <mergeCell ref="F3:G3"/>
    <mergeCell ref="J3:L3"/>
  </mergeCells>
  <pageMargins left="0.31496062992125984" right="0.31496062992125984" top="0.35433070866141736" bottom="0.35433070866141736" header="0.31496062992125984" footer="0.31496062992125984"/>
  <pageSetup paperSize="9" scale="73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O26"/>
  <sheetViews>
    <sheetView topLeftCell="A22" zoomScale="90" zoomScaleNormal="90" workbookViewId="0">
      <selection activeCell="J35" sqref="J35"/>
    </sheetView>
  </sheetViews>
  <sheetFormatPr defaultRowHeight="15"/>
  <cols>
    <col min="1" max="1" width="6.140625" customWidth="1"/>
    <col min="2" max="2" width="29.28515625" customWidth="1"/>
    <col min="4" max="4" width="12.140625" customWidth="1"/>
    <col min="5" max="5" width="11.7109375" customWidth="1"/>
    <col min="6" max="6" width="11.5703125" customWidth="1"/>
    <col min="7" max="7" width="10.5703125" customWidth="1"/>
    <col min="8" max="8" width="12.140625" customWidth="1"/>
    <col min="9" max="10" width="13.7109375" customWidth="1"/>
    <col min="11" max="12" width="13.7109375" hidden="1" customWidth="1"/>
    <col min="13" max="13" width="13.7109375" customWidth="1"/>
    <col min="14" max="14" width="19.140625" customWidth="1"/>
  </cols>
  <sheetData>
    <row r="1" spans="1:15">
      <c r="H1" s="1815"/>
      <c r="I1" s="1815"/>
      <c r="J1" s="1815"/>
      <c r="K1" s="1815"/>
      <c r="L1" s="1815"/>
      <c r="M1" s="1815"/>
      <c r="N1" s="1815"/>
      <c r="O1" s="1815"/>
    </row>
    <row r="2" spans="1:15">
      <c r="A2" s="57" t="s">
        <v>1535</v>
      </c>
      <c r="B2" s="57"/>
      <c r="H2" s="2432">
        <v>4951.475333170034</v>
      </c>
      <c r="I2" s="2432">
        <v>9418.6725800898857</v>
      </c>
      <c r="J2" s="2432">
        <v>18353.12094021705</v>
      </c>
      <c r="K2" s="2432">
        <v>19886.816761302296</v>
      </c>
      <c r="L2" s="2432">
        <v>20360.412648264552</v>
      </c>
      <c r="M2" s="2432"/>
      <c r="N2" s="1815"/>
      <c r="O2" s="1815"/>
    </row>
    <row r="3" spans="1:15" ht="16.5" thickBot="1">
      <c r="B3" s="3394" t="s">
        <v>1794</v>
      </c>
      <c r="C3" s="3394"/>
      <c r="D3" s="3394"/>
      <c r="E3" s="3394"/>
      <c r="F3" s="3394"/>
      <c r="G3" s="3394"/>
      <c r="H3" s="2440"/>
      <c r="I3" s="2440"/>
      <c r="J3" s="1815"/>
      <c r="K3" s="1815"/>
      <c r="L3" s="1815"/>
      <c r="M3" s="1815"/>
      <c r="N3" s="1815"/>
      <c r="O3" s="1815"/>
    </row>
    <row r="4" spans="1:15" ht="36" customHeight="1">
      <c r="A4" s="3652" t="s">
        <v>0</v>
      </c>
      <c r="B4" s="3654" t="s">
        <v>1</v>
      </c>
      <c r="C4" s="3656" t="s">
        <v>789</v>
      </c>
      <c r="D4" s="3398" t="s">
        <v>1430</v>
      </c>
      <c r="E4" s="3397"/>
      <c r="F4" s="3398" t="s">
        <v>1431</v>
      </c>
      <c r="G4" s="3397"/>
      <c r="H4" s="3408" t="s">
        <v>1531</v>
      </c>
      <c r="I4" s="3408" t="s">
        <v>1532</v>
      </c>
      <c r="J4" s="3408" t="s">
        <v>1432</v>
      </c>
      <c r="K4" s="3408" t="s">
        <v>1529</v>
      </c>
      <c r="L4" s="3408" t="s">
        <v>1530</v>
      </c>
      <c r="M4" s="3658" t="s">
        <v>1758</v>
      </c>
      <c r="N4" s="3650" t="s">
        <v>1061</v>
      </c>
    </row>
    <row r="5" spans="1:15" ht="27" customHeight="1" thickBot="1">
      <c r="A5" s="3653"/>
      <c r="B5" s="3655"/>
      <c r="C5" s="3657"/>
      <c r="D5" s="2279" t="s">
        <v>5</v>
      </c>
      <c r="E5" s="2279" t="s">
        <v>6</v>
      </c>
      <c r="F5" s="2279" t="s">
        <v>5</v>
      </c>
      <c r="G5" s="2279" t="s">
        <v>798</v>
      </c>
      <c r="H5" s="3409"/>
      <c r="I5" s="3409"/>
      <c r="J5" s="3409"/>
      <c r="K5" s="3409"/>
      <c r="L5" s="3409"/>
      <c r="M5" s="3659"/>
      <c r="N5" s="3651"/>
    </row>
    <row r="6" spans="1:15">
      <c r="A6" s="2280">
        <v>1</v>
      </c>
      <c r="B6" s="2281" t="s">
        <v>1429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3043"/>
      <c r="N6" s="25"/>
    </row>
    <row r="7" spans="1:15">
      <c r="A7" s="3045" t="s">
        <v>10</v>
      </c>
      <c r="B7" s="69" t="s">
        <v>1433</v>
      </c>
      <c r="C7" s="69" t="s">
        <v>164</v>
      </c>
      <c r="D7" s="69"/>
      <c r="E7" s="69"/>
      <c r="F7" s="69"/>
      <c r="G7" s="69"/>
      <c r="H7" s="424">
        <v>92571.737233341133</v>
      </c>
      <c r="I7" s="424">
        <v>240843.01052425403</v>
      </c>
      <c r="J7" s="424">
        <v>360739.49770114262</v>
      </c>
      <c r="K7" s="424">
        <v>332951.69481691805</v>
      </c>
      <c r="L7" s="424">
        <v>347432.6608541751</v>
      </c>
      <c r="M7" s="1368">
        <f>M8+M9+M10+M12+M13+M14</f>
        <v>189317.16477738673</v>
      </c>
      <c r="N7" s="69"/>
    </row>
    <row r="8" spans="1:15" ht="45.75" customHeight="1">
      <c r="A8" s="2282" t="s">
        <v>12</v>
      </c>
      <c r="B8" s="34" t="s">
        <v>1434</v>
      </c>
      <c r="C8" s="1" t="s">
        <v>164</v>
      </c>
      <c r="D8" s="467">
        <f>'[6]расшифровки ВО_2016'!D59</f>
        <v>8093.0697267777787</v>
      </c>
      <c r="E8" s="467">
        <f>'[6]расшифровки ВО_2016'!E59</f>
        <v>9166.3944641440885</v>
      </c>
      <c r="F8" s="467">
        <f>'[6]расшифровки ВО_2016'!F59</f>
        <v>9513.007988169531</v>
      </c>
      <c r="G8" s="467">
        <f>'[6]расшифровки ВО_2016'!G59</f>
        <v>9506.3406249725595</v>
      </c>
      <c r="H8" s="467">
        <f>'Смета ВО_2016'!H11</f>
        <v>9265.254544881087</v>
      </c>
      <c r="I8" s="467">
        <f>'Смета ВО_2016'!I11</f>
        <v>18492.309198843795</v>
      </c>
      <c r="J8" s="467">
        <f>'Смета ВО_2016'!J11</f>
        <v>17499.431830990339</v>
      </c>
      <c r="K8" s="467">
        <f>'Смета ВО_2016'!K11</f>
        <v>18251.907399722921</v>
      </c>
      <c r="L8" s="467">
        <f>'Смета ВО_2016'!L11</f>
        <v>19040.138909921297</v>
      </c>
      <c r="M8" s="3044">
        <f>'Смета ВО_2016'!M11</f>
        <v>8870.2345625732014</v>
      </c>
      <c r="N8" s="1"/>
    </row>
    <row r="9" spans="1:15" ht="75.75" customHeight="1">
      <c r="A9" s="2282" t="s">
        <v>14</v>
      </c>
      <c r="B9" s="34" t="s">
        <v>1435</v>
      </c>
      <c r="C9" s="1" t="s">
        <v>164</v>
      </c>
      <c r="D9" s="416">
        <f>'[6]расшифровки ВО_2016'!D241</f>
        <v>2400</v>
      </c>
      <c r="E9" s="416">
        <f>'[6]расшифровки ВО_2016'!E241</f>
        <v>102071.55247</v>
      </c>
      <c r="F9" s="416">
        <f>'[6]расшифровки ВО_2016'!F241</f>
        <v>58804.290899999993</v>
      </c>
      <c r="G9" s="416">
        <f>'[6]расшифровки ВО_2016'!G241</f>
        <v>52160.806530000002</v>
      </c>
      <c r="H9" s="416">
        <f>'Смета ВО_2016'!H21+'Смета ВО_2016'!H22</f>
        <v>0</v>
      </c>
      <c r="I9" s="416">
        <f>'Смета ВО_2016'!I21+'Смета ВО_2016'!I22</f>
        <v>50000</v>
      </c>
      <c r="J9" s="416">
        <f>'Смета ВО_2016'!J21+'Смета ВО_2016'!J22</f>
        <v>223453.94</v>
      </c>
      <c r="K9" s="416">
        <f>'Смета ВО_2016'!K21+'Смета ВО_2016'!K22</f>
        <v>157000.92379424002</v>
      </c>
      <c r="L9" s="416">
        <f>'Смета ВО_2016'!L21+'Смета ВО_2016'!L22</f>
        <v>163751.96351739235</v>
      </c>
      <c r="M9" s="424"/>
      <c r="N9" s="1" t="s">
        <v>1759</v>
      </c>
    </row>
    <row r="10" spans="1:15" ht="58.5" customHeight="1">
      <c r="A10" s="2282" t="s">
        <v>16</v>
      </c>
      <c r="B10" s="34" t="s">
        <v>1436</v>
      </c>
      <c r="C10" s="1" t="s">
        <v>164</v>
      </c>
      <c r="D10" s="416">
        <f>'[6]Зар.плата осн.персонала'!D191</f>
        <v>58245.100000000006</v>
      </c>
      <c r="E10" s="416">
        <f>'[6]Зар.плата осн.персонала'!E191</f>
        <v>114654.86963512802</v>
      </c>
      <c r="F10" s="416">
        <f>'[6]Зар.плата осн.персонала'!F191</f>
        <v>121574.42284090909</v>
      </c>
      <c r="G10" s="416">
        <f>'[6]Зар.плата осн.персонала'!G191</f>
        <v>124180.611084</v>
      </c>
      <c r="H10" s="416">
        <f>'Смета ВО_2016'!H24</f>
        <v>57211.78944</v>
      </c>
      <c r="I10" s="416">
        <f>'Смета ВО_2016'!I24</f>
        <v>119750.592</v>
      </c>
      <c r="J10" s="416">
        <f>'Смета ВО_2016'!J24</f>
        <v>114655.77275952</v>
      </c>
      <c r="K10" s="416">
        <f>'Смета ВО_2016'!K24</f>
        <v>117648.95978337935</v>
      </c>
      <c r="L10" s="416">
        <f>'Смета ВО_2016'!L24</f>
        <v>122707.86505406466</v>
      </c>
      <c r="M10" s="424">
        <f>'Зар.плата осн.персонала'!M191+'Зар.плата осн.персонала'!M193</f>
        <v>149281.81613289504</v>
      </c>
      <c r="N10" s="1"/>
    </row>
    <row r="11" spans="1:15" ht="32.25" customHeight="1">
      <c r="A11" s="2282" t="s">
        <v>1437</v>
      </c>
      <c r="B11" s="34" t="s">
        <v>1438</v>
      </c>
      <c r="C11" s="1" t="s">
        <v>164</v>
      </c>
      <c r="D11" s="416">
        <f>'[6]Зар.плата осн.персонала'!D193</f>
        <v>17590</v>
      </c>
      <c r="E11" s="416">
        <f>'[6]Зар.плата осн.персонала'!E193</f>
        <v>34625.770629808663</v>
      </c>
      <c r="F11" s="416">
        <f>'[6]Зар.плата осн.персонала'!F193</f>
        <v>36715.475697954542</v>
      </c>
      <c r="G11" s="416">
        <f>'[6]Зар.плата осн.персонала'!G193</f>
        <v>37502.544547368001</v>
      </c>
      <c r="H11" s="416">
        <f>'Смета ВО_2016'!H25</f>
        <v>17277.960410879998</v>
      </c>
      <c r="I11" s="416">
        <f>'Смета ВО_2016'!I25</f>
        <v>36164.678783999996</v>
      </c>
      <c r="J11" s="416">
        <f>'Смета ВО_2016'!J25</f>
        <v>34626.04337337504</v>
      </c>
      <c r="K11" s="416">
        <f>'Смета ВО_2016'!K25</f>
        <v>35529.985854580562</v>
      </c>
      <c r="L11" s="416">
        <f>'Смета ВО_2016'!L25</f>
        <v>37057.775246327532</v>
      </c>
      <c r="M11" s="424">
        <f>'Зар.плата осн.персонала'!M193</f>
        <v>34626.04337337504</v>
      </c>
      <c r="N11" s="1"/>
    </row>
    <row r="12" spans="1:15" ht="43.5" customHeight="1">
      <c r="A12" s="2282" t="s">
        <v>181</v>
      </c>
      <c r="B12" s="34" t="s">
        <v>1537</v>
      </c>
      <c r="C12" s="1" t="s">
        <v>164</v>
      </c>
      <c r="D12" s="416">
        <f>'[6]расшифровки ВО_2016'!D255</f>
        <v>4756.0175440640005</v>
      </c>
      <c r="E12" s="416">
        <f>'[6]расшифровки ВО_2016'!E255</f>
        <v>4581.8544556097995</v>
      </c>
      <c r="F12" s="416">
        <f>'[6]расшифровки ВО_2016'!F255</f>
        <v>10180.365649920001</v>
      </c>
      <c r="G12" s="416">
        <f>'[6]расшифровки ВО_2016'!G255</f>
        <v>13109.711537338982</v>
      </c>
      <c r="H12" s="416"/>
      <c r="I12" s="416"/>
      <c r="J12" s="416">
        <v>0</v>
      </c>
      <c r="K12" s="416"/>
      <c r="L12" s="416"/>
      <c r="M12" s="424">
        <v>0</v>
      </c>
      <c r="N12" s="1" t="s">
        <v>1759</v>
      </c>
    </row>
    <row r="13" spans="1:15">
      <c r="A13" s="2282" t="s">
        <v>1439</v>
      </c>
      <c r="B13" s="1" t="s">
        <v>1440</v>
      </c>
      <c r="C13" s="1" t="s">
        <v>164</v>
      </c>
      <c r="D13" s="416">
        <f>'[6]Смета ВО_2016'!D27</f>
        <v>45925.14</v>
      </c>
      <c r="E13" s="416">
        <f>'[6]Смета ВО_2016'!E27</f>
        <v>14441.365502028006</v>
      </c>
      <c r="F13" s="416">
        <f>'[6]Смета ВО_2016'!F27</f>
        <v>30517.43</v>
      </c>
      <c r="G13" s="416">
        <f>'[6]Смета ВО_2016'!G27</f>
        <v>15008.973675353258</v>
      </c>
      <c r="H13" s="416">
        <f>'Смета ВО_2016'!H27</f>
        <v>7553.5507701500637</v>
      </c>
      <c r="I13" s="416">
        <f>'Смета ВО_2016'!I27</f>
        <v>15023.671320300129</v>
      </c>
      <c r="J13" s="416">
        <f>'Смета ВО_2016'!J27</f>
        <v>15762.784213813629</v>
      </c>
      <c r="K13" s="416">
        <f>'Смета ВО_2016'!K27</f>
        <v>16494.768785727618</v>
      </c>
      <c r="L13" s="416">
        <f>'Смета ВО_2016'!L27</f>
        <v>17167.731179493905</v>
      </c>
      <c r="M13" s="424">
        <f>'Смета ВО_2016'!M40</f>
        <v>28006.334211646503</v>
      </c>
      <c r="N13" s="1"/>
    </row>
    <row r="14" spans="1:15" ht="31.5" customHeight="1">
      <c r="A14" s="2282" t="s">
        <v>1441</v>
      </c>
      <c r="B14" s="34" t="s">
        <v>1442</v>
      </c>
      <c r="C14" s="1" t="s">
        <v>164</v>
      </c>
      <c r="D14" s="416"/>
      <c r="E14" s="416"/>
      <c r="F14" s="416"/>
      <c r="G14" s="416"/>
      <c r="H14" s="416"/>
      <c r="I14" s="416"/>
      <c r="J14" s="416"/>
      <c r="K14" s="416"/>
      <c r="L14" s="416"/>
      <c r="M14" s="424">
        <f>M15+M16+M17+M18+M19+M20</f>
        <v>3158.7798702720002</v>
      </c>
      <c r="N14" s="1"/>
    </row>
    <row r="15" spans="1:15" ht="29.25" customHeight="1">
      <c r="A15" s="2282" t="s">
        <v>1443</v>
      </c>
      <c r="B15" s="34" t="s">
        <v>1444</v>
      </c>
      <c r="C15" s="1" t="s">
        <v>164</v>
      </c>
      <c r="D15" s="416">
        <f>'[6]расшифровки ВО_2016'!D265</f>
        <v>2100</v>
      </c>
      <c r="E15" s="416">
        <f>'[6]расшифровки ВО_2016'!E265</f>
        <v>0</v>
      </c>
      <c r="F15" s="416">
        <f>'[6]расшифровки ВО_2016'!F265</f>
        <v>3104</v>
      </c>
      <c r="G15" s="416">
        <f>'[6]расшифровки ВО_2016'!G265</f>
        <v>6765.3193600000004</v>
      </c>
      <c r="H15" s="416">
        <f>'расшифровки ВО_2016'!H416</f>
        <v>5483.97</v>
      </c>
      <c r="I15" s="416">
        <f>'расшифровки ВО_2016'!I416</f>
        <v>9322.7489999999998</v>
      </c>
      <c r="J15" s="416">
        <f>'расшифровки ВО_2016'!J416</f>
        <v>5313.4737599999999</v>
      </c>
      <c r="K15" s="416">
        <f>'расшифровки ВО_2016'!K416</f>
        <v>5366.6060699999998</v>
      </c>
      <c r="L15" s="416">
        <f>'расшифровки ВО_2016'!L416</f>
        <v>5420.2738799999997</v>
      </c>
      <c r="M15" s="424">
        <v>0</v>
      </c>
      <c r="N15" s="1" t="s">
        <v>1801</v>
      </c>
    </row>
    <row r="16" spans="1:15" ht="45.75" customHeight="1">
      <c r="A16" s="2282" t="s">
        <v>1445</v>
      </c>
      <c r="B16" s="34" t="s">
        <v>1446</v>
      </c>
      <c r="C16" s="1" t="s">
        <v>164</v>
      </c>
      <c r="D16" s="1"/>
      <c r="E16" s="1"/>
      <c r="F16" s="1"/>
      <c r="G16" s="1"/>
      <c r="H16" s="1"/>
      <c r="I16" s="1"/>
      <c r="J16" s="1"/>
      <c r="K16" s="1"/>
      <c r="L16" s="1"/>
      <c r="M16" s="69">
        <v>0</v>
      </c>
      <c r="N16" s="1"/>
    </row>
    <row r="17" spans="1:14" ht="60.75" customHeight="1">
      <c r="A17" s="2282" t="s">
        <v>1447</v>
      </c>
      <c r="B17" s="34" t="s">
        <v>1448</v>
      </c>
      <c r="C17" s="1" t="s">
        <v>164</v>
      </c>
      <c r="D17" s="1"/>
      <c r="E17" s="1"/>
      <c r="F17" s="1"/>
      <c r="G17" s="1"/>
      <c r="H17" s="1"/>
      <c r="I17" s="1"/>
      <c r="J17" s="1"/>
      <c r="K17" s="1"/>
      <c r="L17" s="1"/>
      <c r="M17" s="69">
        <v>0</v>
      </c>
      <c r="N17" s="1"/>
    </row>
    <row r="18" spans="1:14" ht="39.75" customHeight="1">
      <c r="A18" s="2282" t="s">
        <v>1449</v>
      </c>
      <c r="B18" s="34" t="s">
        <v>1450</v>
      </c>
      <c r="C18" s="1" t="s">
        <v>164</v>
      </c>
      <c r="D18" s="1"/>
      <c r="E18" s="1"/>
      <c r="F18" s="1"/>
      <c r="G18" s="1"/>
      <c r="H18" s="1"/>
      <c r="I18" s="1"/>
      <c r="J18" s="1"/>
      <c r="K18" s="1"/>
      <c r="L18" s="1"/>
      <c r="M18" s="69">
        <v>0</v>
      </c>
      <c r="N18" s="1"/>
    </row>
    <row r="19" spans="1:14" ht="59.25" customHeight="1">
      <c r="A19" s="2282" t="s">
        <v>1451</v>
      </c>
      <c r="B19" s="34" t="s">
        <v>1452</v>
      </c>
      <c r="C19" s="1" t="s">
        <v>164</v>
      </c>
      <c r="D19" s="416">
        <f>'[6]расшифровки ВО_2016'!D269</f>
        <v>1360</v>
      </c>
      <c r="E19" s="416">
        <f>'[6]расшифровки ВО_2016'!E269</f>
        <v>2291.2130326193937</v>
      </c>
      <c r="F19" s="416">
        <f>'[6]расшифровки ВО_2016'!F269</f>
        <v>1001</v>
      </c>
      <c r="G19" s="416">
        <f>'[6]расшифровки ВО_2016'!G269</f>
        <v>2291.2130326193937</v>
      </c>
      <c r="H19" s="416">
        <f>'Смета ВО_2016'!H31</f>
        <v>730.68573120000008</v>
      </c>
      <c r="I19" s="416">
        <f>'Смета ВО_2016'!I31</f>
        <v>1461.3714624000002</v>
      </c>
      <c r="J19" s="416">
        <f>'Смета ВО_2016'!J31</f>
        <v>2392.0264060546469</v>
      </c>
      <c r="K19" s="416">
        <f>'Смета ВО_2016'!K31</f>
        <v>2494.8835415149965</v>
      </c>
      <c r="L19" s="416">
        <f>'Смета ВО_2016'!L31</f>
        <v>2594.6788831755966</v>
      </c>
      <c r="M19" s="424">
        <f>'Смета ВО_2016'!M31</f>
        <v>1505.2126062720001</v>
      </c>
      <c r="N19" s="416"/>
    </row>
    <row r="20" spans="1:14" ht="45.75" customHeight="1">
      <c r="A20" s="2282" t="s">
        <v>1453</v>
      </c>
      <c r="B20" s="34" t="s">
        <v>1760</v>
      </c>
      <c r="C20" s="1" t="s">
        <v>164</v>
      </c>
      <c r="D20" s="1"/>
      <c r="E20" s="1"/>
      <c r="F20" s="1"/>
      <c r="G20" s="1"/>
      <c r="H20" s="1"/>
      <c r="I20" s="1"/>
      <c r="J20" s="1"/>
      <c r="K20" s="1"/>
      <c r="L20" s="1"/>
      <c r="M20" s="424">
        <f>'Смета ВО_2016'!M32</f>
        <v>1653.567264</v>
      </c>
      <c r="N20" s="1"/>
    </row>
    <row r="21" spans="1:14">
      <c r="A21" s="3045" t="s">
        <v>18</v>
      </c>
      <c r="B21" s="3046" t="s">
        <v>51</v>
      </c>
      <c r="C21" s="69" t="s">
        <v>164</v>
      </c>
      <c r="D21" s="424">
        <f>'[6]расшифровки ВО_2016'!D307</f>
        <v>60659.2019</v>
      </c>
      <c r="E21" s="424">
        <f>'[6]расшифровки ВО_2016'!E307</f>
        <v>14383.735999999999</v>
      </c>
      <c r="F21" s="424">
        <f>'[6]расшифровки ВО_2016'!F307</f>
        <v>23906.55411248</v>
      </c>
      <c r="G21" s="424">
        <f>'[6]расшифровки ВО_2016'!G307</f>
        <v>27941.667134399999</v>
      </c>
      <c r="H21" s="424">
        <f>'Смета ВО_2016'!H34</f>
        <v>10345.865567999997</v>
      </c>
      <c r="I21" s="424">
        <f>'Смета ВО_2016'!I34</f>
        <v>24610.114120000002</v>
      </c>
      <c r="J21" s="424">
        <f>'Смета ВО_2016'!J34</f>
        <v>30091.311472000001</v>
      </c>
      <c r="K21" s="424">
        <f>'Смета ВО_2016'!K34</f>
        <v>41307.512365296003</v>
      </c>
      <c r="L21" s="424">
        <f>'Смета ВО_2016'!L34</f>
        <v>27989.820473003732</v>
      </c>
      <c r="M21" s="1368">
        <f>'Смета ВО_2016'!M34</f>
        <v>14257.022813113374</v>
      </c>
      <c r="N21" s="69"/>
    </row>
    <row r="22" spans="1:14" ht="18" customHeight="1">
      <c r="A22" s="3045" t="s">
        <v>30</v>
      </c>
      <c r="B22" s="3047" t="s">
        <v>63</v>
      </c>
      <c r="C22" s="69" t="s">
        <v>164</v>
      </c>
      <c r="D22" s="424">
        <f>'[6]Смета ВО_2016'!D40</f>
        <v>18770.431499999999</v>
      </c>
      <c r="E22" s="424">
        <f>'[6]Смета ВО_2016'!E40</f>
        <v>28174.496780135996</v>
      </c>
      <c r="F22" s="424">
        <f>'[6]Смета ВО_2016'!F40</f>
        <v>26059.64</v>
      </c>
      <c r="G22" s="424">
        <f>'[6]Смета ВО_2016'!G40</f>
        <v>31336.760058348118</v>
      </c>
      <c r="H22" s="424">
        <f>'Смета ВО_2016'!H40</f>
        <v>17387.155626600001</v>
      </c>
      <c r="I22" s="424">
        <f>'Смета ВО_2016'!I40</f>
        <v>36456.44584375</v>
      </c>
      <c r="J22" s="424">
        <f>'Смета ВО_2016'!J40</f>
        <v>31356.86717256275</v>
      </c>
      <c r="K22" s="424">
        <f>'Смета ВО_2016'!K40</f>
        <v>28230.087305949546</v>
      </c>
      <c r="L22" s="424">
        <f>'Смета ВО_2016'!L40</f>
        <v>29443.98106010538</v>
      </c>
      <c r="M22" s="1368">
        <f>'Смета ВО_2016'!M40</f>
        <v>28006.334211646503</v>
      </c>
      <c r="N22" s="69"/>
    </row>
    <row r="23" spans="1:14" ht="31.5" customHeight="1">
      <c r="A23" s="3048" t="s">
        <v>255</v>
      </c>
      <c r="B23" s="3049" t="s">
        <v>1454</v>
      </c>
      <c r="C23" s="35" t="s">
        <v>164</v>
      </c>
      <c r="D23" s="461">
        <f>'[6]расшифровки ВО_2016'!D441</f>
        <v>0</v>
      </c>
      <c r="E23" s="461">
        <f>'[6]расшифровки ВО_2016'!E441</f>
        <v>3164.8359999999998</v>
      </c>
      <c r="F23" s="461">
        <f>'[6]расшифровки ВО_2016'!F441</f>
        <v>3100.0010717999999</v>
      </c>
      <c r="G23" s="461">
        <f>'[6]расшифровки ВО_2016'!G441</f>
        <v>3307.2536199999995</v>
      </c>
      <c r="H23" s="461">
        <f>'Смета ВО_2016'!H65</f>
        <v>1653.6268099999998</v>
      </c>
      <c r="I23" s="461">
        <f>'Смета ВО_2016'!I65</f>
        <v>3307.2536199999995</v>
      </c>
      <c r="J23" s="461">
        <f>'Смета ВО_2016'!J65</f>
        <v>0</v>
      </c>
      <c r="K23" s="461">
        <f>'Смета ВО_2016'!K65</f>
        <v>0</v>
      </c>
      <c r="L23" s="461">
        <f>'Смета ВО_2016'!L65</f>
        <v>0</v>
      </c>
      <c r="M23" s="3050">
        <v>0</v>
      </c>
      <c r="N23" s="35" t="s">
        <v>1759</v>
      </c>
    </row>
    <row r="24" spans="1:14" ht="44.25" customHeight="1">
      <c r="A24" s="2282" t="s">
        <v>35</v>
      </c>
      <c r="B24" s="2283" t="s">
        <v>1455</v>
      </c>
      <c r="C24" s="1" t="s">
        <v>164</v>
      </c>
      <c r="D24" s="1"/>
      <c r="E24" s="1"/>
      <c r="F24" s="1"/>
      <c r="G24" s="1"/>
      <c r="H24" s="1"/>
      <c r="I24" s="1"/>
      <c r="J24" s="1"/>
      <c r="K24" s="1"/>
      <c r="L24" s="1"/>
      <c r="M24" s="3050">
        <v>0</v>
      </c>
      <c r="N24" s="1"/>
    </row>
    <row r="25" spans="1:14">
      <c r="A25" s="1"/>
      <c r="B25" s="408" t="s">
        <v>1244</v>
      </c>
      <c r="C25" s="408"/>
      <c r="D25" s="408">
        <f>SUM(D7:D24)</f>
        <v>219898.9606708418</v>
      </c>
      <c r="E25" s="408">
        <f t="shared" ref="E25:N25" si="0">SUM(E7:E24)</f>
        <v>327556.08896947396</v>
      </c>
      <c r="F25" s="408">
        <f t="shared" si="0"/>
        <v>324476.18826123321</v>
      </c>
      <c r="G25" s="408">
        <f t="shared" si="0"/>
        <v>323111.20120440028</v>
      </c>
      <c r="H25" s="408">
        <f>H7+H21+H22+H23</f>
        <v>121958.38523794113</v>
      </c>
      <c r="I25" s="408">
        <f t="shared" ref="I25:L25" si="1">I7+I21+I22+I23</f>
        <v>305216.82410800399</v>
      </c>
      <c r="J25" s="2529">
        <f t="shared" si="1"/>
        <v>422187.6763457054</v>
      </c>
      <c r="K25" s="2529">
        <f t="shared" si="1"/>
        <v>402489.29448816361</v>
      </c>
      <c r="L25" s="2529">
        <f t="shared" si="1"/>
        <v>404866.46238728421</v>
      </c>
      <c r="M25" s="1768">
        <f>M7+M21+M22+M23</f>
        <v>231580.5218021466</v>
      </c>
      <c r="N25" s="408">
        <f t="shared" si="0"/>
        <v>0</v>
      </c>
    </row>
    <row r="26" spans="1:14">
      <c r="J26" t="s">
        <v>1640</v>
      </c>
    </row>
  </sheetData>
  <mergeCells count="13">
    <mergeCell ref="J4:J5"/>
    <mergeCell ref="N4:N5"/>
    <mergeCell ref="B3:G3"/>
    <mergeCell ref="A4:A5"/>
    <mergeCell ref="B4:B5"/>
    <mergeCell ref="C4:C5"/>
    <mergeCell ref="D4:E4"/>
    <mergeCell ref="F4:G4"/>
    <mergeCell ref="K4:K5"/>
    <mergeCell ref="L4:L5"/>
    <mergeCell ref="H4:H5"/>
    <mergeCell ref="I4:I5"/>
    <mergeCell ref="M4:M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2:R42"/>
  <sheetViews>
    <sheetView topLeftCell="A27" zoomScale="80" zoomScaleNormal="80" workbookViewId="0">
      <selection activeCell="M41" sqref="M41:N41"/>
    </sheetView>
  </sheetViews>
  <sheetFormatPr defaultRowHeight="15"/>
  <cols>
    <col min="1" max="1" width="7.5703125" customWidth="1"/>
    <col min="2" max="2" width="34.140625" customWidth="1"/>
    <col min="3" max="3" width="11" customWidth="1"/>
    <col min="6" max="6" width="14.42578125" customWidth="1"/>
    <col min="7" max="7" width="14.7109375" customWidth="1"/>
    <col min="8" max="8" width="14.140625" customWidth="1"/>
    <col min="9" max="9" width="16.5703125" hidden="1" customWidth="1"/>
    <col min="10" max="10" width="14.5703125" hidden="1" customWidth="1"/>
    <col min="11" max="11" width="13.7109375" customWidth="1"/>
    <col min="12" max="12" width="13.85546875" customWidth="1"/>
    <col min="13" max="13" width="13.5703125" customWidth="1"/>
    <col min="14" max="14" width="14.5703125" customWidth="1"/>
    <col min="15" max="15" width="12.28515625" customWidth="1"/>
    <col min="16" max="16" width="13.140625" customWidth="1"/>
    <col min="17" max="17" width="14.140625" customWidth="1"/>
    <col min="18" max="18" width="12.28515625" customWidth="1"/>
  </cols>
  <sheetData>
    <row r="2" spans="1:18">
      <c r="C2" s="57" t="s">
        <v>1535</v>
      </c>
      <c r="D2" s="57"/>
    </row>
    <row r="3" spans="1:18" ht="15.75" thickBot="1">
      <c r="B3" s="3368" t="s">
        <v>1767</v>
      </c>
      <c r="C3" s="3368"/>
      <c r="D3" s="3368"/>
      <c r="E3" s="3368"/>
      <c r="F3" s="3368"/>
      <c r="G3" s="3368"/>
      <c r="H3" s="3368"/>
      <c r="I3" s="3368"/>
      <c r="J3" s="3368"/>
      <c r="K3" s="3368"/>
      <c r="L3" s="3368"/>
      <c r="M3" s="3368"/>
    </row>
    <row r="4" spans="1:18" ht="15.75" thickBot="1">
      <c r="A4" s="3366" t="s">
        <v>0</v>
      </c>
      <c r="B4" s="3366" t="s">
        <v>1</v>
      </c>
      <c r="C4" s="3369" t="s">
        <v>789</v>
      </c>
      <c r="D4" s="3364" t="s">
        <v>1457</v>
      </c>
      <c r="E4" s="3371"/>
      <c r="F4" s="3364" t="s">
        <v>1197</v>
      </c>
      <c r="G4" s="3371"/>
      <c r="H4" s="3364" t="s">
        <v>1458</v>
      </c>
      <c r="I4" s="3371"/>
      <c r="J4" s="3660" t="s">
        <v>1531</v>
      </c>
      <c r="K4" s="3662" t="s">
        <v>1532</v>
      </c>
      <c r="L4" s="3365" t="s">
        <v>1459</v>
      </c>
      <c r="M4" s="3365"/>
      <c r="N4" s="3371"/>
      <c r="O4" s="3364" t="s">
        <v>1460</v>
      </c>
      <c r="P4" s="3365"/>
      <c r="Q4" s="3365"/>
      <c r="R4" s="3366" t="s">
        <v>1061</v>
      </c>
    </row>
    <row r="5" spans="1:18" ht="15.75" thickBot="1">
      <c r="A5" s="3367"/>
      <c r="B5" s="3367"/>
      <c r="C5" s="3370"/>
      <c r="D5" s="2284" t="s">
        <v>5</v>
      </c>
      <c r="E5" s="2284" t="s">
        <v>6</v>
      </c>
      <c r="F5" s="2284" t="s">
        <v>5</v>
      </c>
      <c r="G5" s="2284" t="s">
        <v>6</v>
      </c>
      <c r="H5" s="2284" t="s">
        <v>5</v>
      </c>
      <c r="I5" s="2284" t="s">
        <v>798</v>
      </c>
      <c r="J5" s="3661"/>
      <c r="K5" s="3663"/>
      <c r="L5" s="214">
        <v>2016</v>
      </c>
      <c r="M5" s="2284">
        <v>2017</v>
      </c>
      <c r="N5" s="2284">
        <v>2018</v>
      </c>
      <c r="O5" s="214">
        <v>2016</v>
      </c>
      <c r="P5" s="2284">
        <v>2017</v>
      </c>
      <c r="Q5" s="2284">
        <v>2018</v>
      </c>
      <c r="R5" s="3367"/>
    </row>
    <row r="6" spans="1:18">
      <c r="A6" s="2285">
        <v>1</v>
      </c>
      <c r="B6" s="2286" t="s">
        <v>1461</v>
      </c>
      <c r="C6" s="2286" t="s">
        <v>383</v>
      </c>
      <c r="D6" s="2287"/>
      <c r="E6" s="2287"/>
      <c r="F6" s="2303">
        <f>F7+F16+F17+F18</f>
        <v>308139.17983090581</v>
      </c>
      <c r="G6" s="2303">
        <f t="shared" ref="G6:N6" si="0">G7+G16+G17+G18</f>
        <v>421593.76327130198</v>
      </c>
      <c r="H6" s="2303">
        <f t="shared" si="0"/>
        <v>425645.55077150097</v>
      </c>
      <c r="I6" s="2303">
        <f t="shared" si="0"/>
        <v>658385.47134069481</v>
      </c>
      <c r="J6" s="2303">
        <f t="shared" si="0"/>
        <v>345881.30705398228</v>
      </c>
      <c r="K6" s="2303">
        <f t="shared" si="0"/>
        <v>760586.57134153415</v>
      </c>
      <c r="L6" s="2303">
        <f t="shared" si="0"/>
        <v>925124.69228442758</v>
      </c>
      <c r="M6" s="2303">
        <f t="shared" si="0"/>
        <v>933931.25136139453</v>
      </c>
      <c r="N6" s="2303">
        <f t="shared" si="0"/>
        <v>971940.37446605554</v>
      </c>
      <c r="O6" s="3065">
        <f>O7+O16+O17</f>
        <v>479836.41309279244</v>
      </c>
      <c r="P6" s="3065">
        <f t="shared" ref="P6:Q6" si="1">P7+P16+P17</f>
        <v>571379.69672245428</v>
      </c>
      <c r="Q6" s="3065">
        <f t="shared" si="1"/>
        <v>623179.59682618547</v>
      </c>
      <c r="R6" s="2289"/>
    </row>
    <row r="7" spans="1:18">
      <c r="A7" s="1045" t="s">
        <v>10</v>
      </c>
      <c r="B7" s="1" t="s">
        <v>1462</v>
      </c>
      <c r="C7" s="1" t="s">
        <v>383</v>
      </c>
      <c r="D7" s="1"/>
      <c r="E7" s="1"/>
      <c r="F7" s="416">
        <f>F8+F12+F13</f>
        <v>262976.53183090582</v>
      </c>
      <c r="G7" s="416">
        <f t="shared" ref="G7:N7" si="2">G8+G12+G13</f>
        <v>377084.32183008379</v>
      </c>
      <c r="H7" s="416">
        <f t="shared" si="2"/>
        <v>382731.49077150098</v>
      </c>
      <c r="I7" s="416">
        <f>I8+I12+I13</f>
        <v>587910.15568316297</v>
      </c>
      <c r="J7" s="512">
        <f t="shared" si="2"/>
        <v>152981.28152151412</v>
      </c>
      <c r="K7" s="416">
        <f t="shared" si="2"/>
        <v>374213.84895094781</v>
      </c>
      <c r="L7" s="512">
        <f t="shared" si="2"/>
        <v>526768.02233039541</v>
      </c>
      <c r="M7" s="416">
        <f t="shared" si="2"/>
        <v>500085.33330710727</v>
      </c>
      <c r="N7" s="416">
        <f t="shared" si="2"/>
        <v>500952.20083605545</v>
      </c>
      <c r="O7" s="416">
        <f>O8+O12+O13</f>
        <v>427477.30002279242</v>
      </c>
      <c r="P7" s="416">
        <f t="shared" ref="P7:Q7" si="3">P8+P12+P13</f>
        <v>499843.77559245424</v>
      </c>
      <c r="Q7" s="416">
        <f t="shared" si="3"/>
        <v>509784.36925118545</v>
      </c>
      <c r="R7" s="998"/>
    </row>
    <row r="8" spans="1:18">
      <c r="A8" s="1045" t="s">
        <v>12</v>
      </c>
      <c r="B8" s="1" t="s">
        <v>1429</v>
      </c>
      <c r="C8" s="1" t="s">
        <v>383</v>
      </c>
      <c r="D8" s="1"/>
      <c r="E8" s="1"/>
      <c r="F8" s="416">
        <f>'[6]Базовый уровень опер.расх.ВО'!D25</f>
        <v>219898.9606708418</v>
      </c>
      <c r="G8" s="416">
        <f>'[6]Базовый уровень опер.расх.ВО'!E25</f>
        <v>327556.08896947396</v>
      </c>
      <c r="H8" s="416">
        <f>'[6]Базовый уровень опер.расх.ВО'!F25</f>
        <v>324476.18826123321</v>
      </c>
      <c r="I8" s="416">
        <f>'Базовый уровень опер.расх.ВС '!I24</f>
        <v>480003.60970568174</v>
      </c>
      <c r="J8" s="512">
        <f>'Базовый уровень опер.расх.ВО'!H25</f>
        <v>121958.38523794113</v>
      </c>
      <c r="K8" s="416">
        <f>'Базовый уровень опер.расх.ВО'!I25</f>
        <v>305216.82410800399</v>
      </c>
      <c r="L8" s="512">
        <f>'Базовый уровень опер.расх.ВО'!J25</f>
        <v>422187.6763457054</v>
      </c>
      <c r="M8" s="416">
        <f>'Базовый уровень опер.расх.ВО'!K25</f>
        <v>402489.29448816361</v>
      </c>
      <c r="N8" s="416">
        <f>'Базовый уровень опер.расх.ВО'!L25</f>
        <v>404866.46238728421</v>
      </c>
      <c r="O8" s="416">
        <f>'Базовый уровень опер.расх.ВО'!M25</f>
        <v>231580.5218021466</v>
      </c>
      <c r="P8" s="1">
        <f>O8*(1-P9)*(1+P10)*(1+P11)</f>
        <v>239123.09939724248</v>
      </c>
      <c r="Q8" s="1">
        <f>P8*(1-Q9)*(1+Q10)*(1+Q11)</f>
        <v>246911.33874461066</v>
      </c>
      <c r="R8" s="998"/>
    </row>
    <row r="9" spans="1:18">
      <c r="A9" s="1037" t="s">
        <v>1463</v>
      </c>
      <c r="B9" s="2291" t="s">
        <v>1464</v>
      </c>
      <c r="C9" s="1" t="s">
        <v>383</v>
      </c>
      <c r="D9" s="1"/>
      <c r="E9" s="1"/>
      <c r="F9" s="1"/>
      <c r="G9" s="1"/>
      <c r="H9" s="1"/>
      <c r="I9" s="1"/>
      <c r="J9" s="1135"/>
      <c r="K9" s="1"/>
      <c r="L9" s="1135"/>
      <c r="M9" s="1"/>
      <c r="N9" s="1"/>
      <c r="O9" s="1"/>
      <c r="P9" s="1">
        <v>0.01</v>
      </c>
      <c r="Q9" s="1">
        <v>0.01</v>
      </c>
      <c r="R9" s="998"/>
    </row>
    <row r="10" spans="1:18">
      <c r="A10" s="1037" t="s">
        <v>1465</v>
      </c>
      <c r="B10" s="2291" t="s">
        <v>1466</v>
      </c>
      <c r="C10" s="1" t="s">
        <v>383</v>
      </c>
      <c r="D10" s="1"/>
      <c r="E10" s="1"/>
      <c r="F10" s="1"/>
      <c r="G10" s="1"/>
      <c r="H10" s="1"/>
      <c r="I10" s="1"/>
      <c r="J10" s="1135"/>
      <c r="K10" s="1"/>
      <c r="L10" s="1135"/>
      <c r="M10" s="1">
        <v>1.0429999999999999</v>
      </c>
      <c r="N10" s="1">
        <v>1.0429999999999999</v>
      </c>
      <c r="O10" s="1"/>
      <c r="P10" s="1">
        <v>4.2999999999999997E-2</v>
      </c>
      <c r="Q10" s="1">
        <v>4.2999999999999997E-2</v>
      </c>
      <c r="R10" s="998"/>
    </row>
    <row r="11" spans="1:18">
      <c r="A11" s="1037" t="s">
        <v>1467</v>
      </c>
      <c r="B11" s="2291" t="s">
        <v>1468</v>
      </c>
      <c r="C11" s="1" t="s">
        <v>383</v>
      </c>
      <c r="D11" s="1"/>
      <c r="E11" s="1"/>
      <c r="F11" s="1"/>
      <c r="G11" s="1"/>
      <c r="H11" s="1"/>
      <c r="I11" s="1"/>
      <c r="J11" s="1135"/>
      <c r="K11" s="1"/>
      <c r="L11" s="1135"/>
      <c r="M11" s="1"/>
      <c r="N11" s="1"/>
      <c r="O11" s="1"/>
      <c r="P11" s="1">
        <v>0</v>
      </c>
      <c r="Q11" s="1">
        <v>0</v>
      </c>
      <c r="R11" s="998"/>
    </row>
    <row r="12" spans="1:18">
      <c r="A12" s="1045" t="s">
        <v>14</v>
      </c>
      <c r="B12" s="1" t="s">
        <v>1469</v>
      </c>
      <c r="C12" s="1" t="s">
        <v>383</v>
      </c>
      <c r="D12" s="1"/>
      <c r="E12" s="1"/>
      <c r="F12" s="416">
        <f>'[6]расшифровки ВО_2016'!D118</f>
        <v>19458.548000000003</v>
      </c>
      <c r="G12" s="416">
        <f>'[6]расшифровки ВО_2016'!E118</f>
        <v>20358.698700000001</v>
      </c>
      <c r="H12" s="416">
        <f>'[6]расшифровки ВО_2016'!F118</f>
        <v>22882.459800547746</v>
      </c>
      <c r="I12" s="416">
        <v>26000</v>
      </c>
      <c r="J12" s="512">
        <f>'Смета ВО_2016'!H16</f>
        <v>12039.8</v>
      </c>
      <c r="K12" s="512">
        <f>'Смета ВО_2016'!I16</f>
        <v>26094.1</v>
      </c>
      <c r="L12" s="512">
        <f>'Смета ВО_2016'!J16</f>
        <v>27974.404999999999</v>
      </c>
      <c r="M12" s="512">
        <f>'Смета ВО_2016'!K16</f>
        <v>29457.047999999999</v>
      </c>
      <c r="N12" s="512">
        <f>'Смета ВО_2016'!L16</f>
        <v>31028.27</v>
      </c>
      <c r="O12" s="416">
        <f>'расшифровки ВО_2016'!Q122</f>
        <v>24559.579336105988</v>
      </c>
      <c r="P12" s="416">
        <f>'расшифровки ВО_2016'!R122</f>
        <v>26180.511572288982</v>
      </c>
      <c r="Q12" s="416">
        <f>'расшифровки ВО_2016'!S122</f>
        <v>27934.605847632338</v>
      </c>
      <c r="R12" s="998"/>
    </row>
    <row r="13" spans="1:18" ht="28.5" customHeight="1">
      <c r="A13" s="1045" t="s">
        <v>16</v>
      </c>
      <c r="B13" s="34" t="s">
        <v>1470</v>
      </c>
      <c r="C13" s="1" t="s">
        <v>383</v>
      </c>
      <c r="D13" s="1"/>
      <c r="E13" s="1"/>
      <c r="F13" s="416">
        <f>'[6]Неподконтрольные расходы В0'!D27</f>
        <v>23619.023160064004</v>
      </c>
      <c r="G13" s="416">
        <f>'[6]Неподконтрольные расходы В0'!E27</f>
        <v>29169.534160609797</v>
      </c>
      <c r="H13" s="416">
        <f>'[6]Неподконтрольные расходы В0'!F27</f>
        <v>35372.842709720004</v>
      </c>
      <c r="I13" s="416">
        <f>'Неподконтрольные расходы ВС'!I36</f>
        <v>81906.545977481277</v>
      </c>
      <c r="J13" s="512">
        <f>'Неподконтрольные расходы В0'!H29</f>
        <v>18983.096283572999</v>
      </c>
      <c r="K13" s="512">
        <f>'Неподконтрольные расходы В0'!I29</f>
        <v>42902.92484294383</v>
      </c>
      <c r="L13" s="512">
        <f>'Неподконтрольные расходы В0'!J29</f>
        <v>76605.940984690009</v>
      </c>
      <c r="M13" s="512">
        <f>'Неподконтрольные расходы В0'!K29</f>
        <v>68138.990818943639</v>
      </c>
      <c r="N13" s="512">
        <f>'Неподконтрольные расходы В0'!L29</f>
        <v>65057.468448771251</v>
      </c>
      <c r="O13" s="416">
        <f>'Неподконтрольные расходы В0'!M29</f>
        <v>171337.19888453983</v>
      </c>
      <c r="P13" s="416">
        <f>'Неподконтрольные расходы В0'!N29</f>
        <v>234540.16462292278</v>
      </c>
      <c r="Q13" s="416">
        <f>'Неподконтрольные расходы В0'!O29</f>
        <v>234938.42465894244</v>
      </c>
      <c r="R13" s="998"/>
    </row>
    <row r="14" spans="1:18">
      <c r="A14" s="1037" t="s">
        <v>1437</v>
      </c>
      <c r="B14" s="92" t="s">
        <v>1471</v>
      </c>
      <c r="C14" s="1" t="s">
        <v>383</v>
      </c>
      <c r="D14" s="1"/>
      <c r="E14" s="1"/>
      <c r="F14" s="1"/>
      <c r="G14" s="1"/>
      <c r="H14" s="1"/>
      <c r="I14" s="1"/>
      <c r="J14" s="1135"/>
      <c r="K14" s="1"/>
      <c r="L14" s="1135"/>
      <c r="M14" s="1"/>
      <c r="N14" s="1"/>
      <c r="O14" s="1"/>
      <c r="P14" s="1"/>
      <c r="Q14" s="1"/>
      <c r="R14" s="998"/>
    </row>
    <row r="15" spans="1:18">
      <c r="A15" s="1037" t="s">
        <v>1472</v>
      </c>
      <c r="B15" s="92" t="s">
        <v>1473</v>
      </c>
      <c r="C15" s="1" t="s">
        <v>383</v>
      </c>
      <c r="D15" s="1"/>
      <c r="E15" s="1"/>
      <c r="F15" s="416">
        <f>'[6]расшифровки ВО_2016'!D255</f>
        <v>4756.0175440640005</v>
      </c>
      <c r="G15" s="416">
        <f>'[6]расшифровки ВО_2016'!E255</f>
        <v>4581.8544556097995</v>
      </c>
      <c r="H15" s="416">
        <f>'[6]расшифровки ВО_2016'!F255</f>
        <v>10180.365649920001</v>
      </c>
      <c r="I15" s="416">
        <f>'Неподконтрольные расходы ВС'!I35</f>
        <v>14224.503886774455</v>
      </c>
      <c r="J15" s="512">
        <f>'Смета ВО_2016'!H27</f>
        <v>7553.5507701500637</v>
      </c>
      <c r="K15" s="416">
        <f>'Смета ВО_2016'!I27</f>
        <v>15023.671320300129</v>
      </c>
      <c r="L15" s="512">
        <f>'Смета ВО_2016'!J27</f>
        <v>15762.784213813629</v>
      </c>
      <c r="M15" s="416">
        <f>'Смета ВО_2016'!K27</f>
        <v>16494.768785727618</v>
      </c>
      <c r="N15" s="416">
        <f>'Смета ВО_2016'!L27</f>
        <v>17167.731179493905</v>
      </c>
      <c r="O15" s="416">
        <f>'Неподконтрольные расходы В0'!M28</f>
        <v>17046.227650000001</v>
      </c>
      <c r="P15" s="416">
        <f>'Неподконтрольные расходы В0'!N28</f>
        <v>7702.916512499999</v>
      </c>
      <c r="Q15" s="416">
        <f>'Неподконтрольные расходы В0'!O28</f>
        <v>3851.4582562499995</v>
      </c>
      <c r="R15" s="998"/>
    </row>
    <row r="16" spans="1:18">
      <c r="A16" s="1045" t="s">
        <v>18</v>
      </c>
      <c r="B16" s="1" t="s">
        <v>104</v>
      </c>
      <c r="C16" s="1" t="s">
        <v>383</v>
      </c>
      <c r="D16" s="1"/>
      <c r="E16" s="1"/>
      <c r="F16" s="416">
        <f>'[6]расшифровки ВО_2016'!D357+'[6]расшифровки ВО_2016'!D358+'[6]расшифровки ВО_2016'!D359</f>
        <v>28182.147999999997</v>
      </c>
      <c r="G16" s="416">
        <f>'[6]расшифровки ВО_2016'!E357+'[6]расшифровки ВО_2016'!E358+'[6]расшифровки ВО_2016'!E359</f>
        <v>33784.004999999997</v>
      </c>
      <c r="H16" s="416">
        <f>'[6]расшифровки ВО_2016'!F357+'[6]расшифровки ВО_2016'!F358+'[6]расшифровки ВО_2016'!F359</f>
        <v>29290</v>
      </c>
      <c r="I16" s="416">
        <f>'расшифровки ВС_2016'!I383</f>
        <v>46399.802868000006</v>
      </c>
      <c r="J16" s="512">
        <f>'расшифровки ВО_2016'!H412</f>
        <v>21049.620000000003</v>
      </c>
      <c r="K16" s="416">
        <f>'расшифровки ВО_2016'!I412</f>
        <v>40609.705500000004</v>
      </c>
      <c r="L16" s="512">
        <f>'расшифровки ВО_2016'!J412</f>
        <v>46479.111375</v>
      </c>
      <c r="M16" s="416">
        <f>'расшифровки ВО_2016'!K412</f>
        <v>75221.297994999986</v>
      </c>
      <c r="N16" s="416">
        <f>'расшифровки ВО_2016'!L412</f>
        <v>124616.72162999999</v>
      </c>
      <c r="O16" s="416">
        <f>'расшифровки ВО_2016'!Q424</f>
        <v>43479.113069999999</v>
      </c>
      <c r="P16" s="416">
        <f>'расшифровки ВО_2016'!R424</f>
        <v>61517.921130000002</v>
      </c>
      <c r="Q16" s="416">
        <f>'расшифровки ВО_2016'!S424</f>
        <v>86825.227574999997</v>
      </c>
      <c r="R16" s="998"/>
    </row>
    <row r="17" spans="1:18">
      <c r="A17" s="1045" t="s">
        <v>30</v>
      </c>
      <c r="B17" s="1" t="s">
        <v>131</v>
      </c>
      <c r="C17" s="1" t="s">
        <v>383</v>
      </c>
      <c r="D17" s="1"/>
      <c r="E17" s="1"/>
      <c r="F17" s="416">
        <f>F19+F20</f>
        <v>16980.5</v>
      </c>
      <c r="G17" s="416">
        <f t="shared" ref="G17:I17" si="4">G19+G20</f>
        <v>10725.436441218219</v>
      </c>
      <c r="H17" s="416">
        <f t="shared" si="4"/>
        <v>13624.06</v>
      </c>
      <c r="I17" s="416">
        <f t="shared" si="4"/>
        <v>24075.512789531887</v>
      </c>
      <c r="J17" s="512">
        <f>'Смета ВО_2016'!H92</f>
        <v>9948.6805324681227</v>
      </c>
      <c r="K17" s="512">
        <f>'Смета ВО_2016'!I92</f>
        <v>21959.564890586335</v>
      </c>
      <c r="L17" s="512">
        <f>'Смета ВО_2016'!J92</f>
        <v>28074.106579032141</v>
      </c>
      <c r="M17" s="512">
        <f>'Смета ВО_2016'!K92</f>
        <v>34821.168059287404</v>
      </c>
      <c r="N17" s="512">
        <v>22568</v>
      </c>
      <c r="O17" s="1">
        <v>8880</v>
      </c>
      <c r="P17" s="1">
        <v>10018</v>
      </c>
      <c r="Q17" s="1">
        <v>26570</v>
      </c>
      <c r="R17" s="998"/>
    </row>
    <row r="18" spans="1:18" ht="29.25" customHeight="1">
      <c r="A18" s="1045"/>
      <c r="B18" s="2448" t="s">
        <v>1540</v>
      </c>
      <c r="C18" s="1" t="s">
        <v>383</v>
      </c>
      <c r="D18" s="227"/>
      <c r="E18" s="227"/>
      <c r="F18" s="462"/>
      <c r="G18" s="462"/>
      <c r="H18" s="462"/>
      <c r="I18" s="462"/>
      <c r="J18" s="2447">
        <f>'Смета ВО_2016'!H83</f>
        <v>161901.72500000001</v>
      </c>
      <c r="K18" s="2447">
        <f>'Смета ВО_2016'!I83</f>
        <v>323803.45199999999</v>
      </c>
      <c r="L18" s="2447">
        <f>'Смета ВО_2016'!J83</f>
        <v>323803.45199999999</v>
      </c>
      <c r="M18" s="2447">
        <f>'Смета ВО_2016'!K83</f>
        <v>323803.45199999999</v>
      </c>
      <c r="N18" s="2447">
        <f>'Смета ВО_2016'!L83</f>
        <v>323803.45199999999</v>
      </c>
      <c r="O18" s="2447">
        <f>'Смета ВО_2016'!M83</f>
        <v>0</v>
      </c>
      <c r="P18" s="2447">
        <f>'Смета ВО_2016'!N83</f>
        <v>0</v>
      </c>
      <c r="Q18" s="2447">
        <f>'Смета ВО_2016'!O83</f>
        <v>0</v>
      </c>
      <c r="R18" s="998"/>
    </row>
    <row r="19" spans="1:18">
      <c r="A19" s="1045" t="s">
        <v>396</v>
      </c>
      <c r="B19" s="92" t="s">
        <v>1474</v>
      </c>
      <c r="C19" s="1" t="s">
        <v>383</v>
      </c>
      <c r="D19" s="1"/>
      <c r="E19" s="1"/>
      <c r="F19" s="1"/>
      <c r="G19" s="416">
        <v>9091.5454412182189</v>
      </c>
      <c r="H19" s="416">
        <v>11800</v>
      </c>
      <c r="I19" s="416">
        <f>'Смета ВС_2016'!I92</f>
        <v>21525.512789531887</v>
      </c>
      <c r="J19" s="512"/>
      <c r="K19" s="416"/>
      <c r="L19" s="416"/>
      <c r="M19" s="416"/>
      <c r="N19" s="416">
        <v>0</v>
      </c>
      <c r="O19" s="1"/>
      <c r="P19" s="1"/>
      <c r="Q19" s="1"/>
      <c r="R19" s="998"/>
    </row>
    <row r="20" spans="1:18" ht="41.25" customHeight="1">
      <c r="A20" s="1045" t="s">
        <v>397</v>
      </c>
      <c r="B20" s="1403" t="s">
        <v>1475</v>
      </c>
      <c r="C20" s="1" t="s">
        <v>383</v>
      </c>
      <c r="D20" s="1"/>
      <c r="E20" s="1"/>
      <c r="F20" s="1344">
        <f>'[6]Смета ВО_2016'!D84</f>
        <v>16980.5</v>
      </c>
      <c r="G20" s="1344">
        <f>'[6]Смета ВО_2016'!E84</f>
        <v>1633.8909999999998</v>
      </c>
      <c r="H20" s="1344">
        <f>'[6]Смета ВО_2016'!F84</f>
        <v>1824.06</v>
      </c>
      <c r="I20" s="1344">
        <f>'Смета ВС_2016'!I90</f>
        <v>2550</v>
      </c>
      <c r="J20" s="1344">
        <f>'Смета ВО_2016'!H90</f>
        <v>1933.5036</v>
      </c>
      <c r="K20" s="1344">
        <f>'Смета ВО_2016'!I90</f>
        <v>1835.8399276</v>
      </c>
      <c r="L20" s="1344">
        <f>'Смета ВО_2016'!J90</f>
        <v>1809.8610606999998</v>
      </c>
      <c r="M20" s="1344">
        <f>'Смета ВО_2016'!K90</f>
        <v>1887.6850863100997</v>
      </c>
      <c r="N20" s="1344">
        <f>'Смета ВО_2016'!L90</f>
        <v>1968.8555450214337</v>
      </c>
      <c r="O20" s="1344">
        <f>L20</f>
        <v>1809.8610606999998</v>
      </c>
      <c r="P20" s="1344">
        <f t="shared" ref="P20:Q20" si="5">M20</f>
        <v>1887.6850863100997</v>
      </c>
      <c r="Q20" s="1344">
        <f t="shared" si="5"/>
        <v>1968.8555450214337</v>
      </c>
      <c r="R20" s="998"/>
    </row>
    <row r="21" spans="1:18">
      <c r="A21" s="1045" t="s">
        <v>1476</v>
      </c>
      <c r="B21" s="92" t="s">
        <v>1477</v>
      </c>
      <c r="C21" s="92" t="s">
        <v>280</v>
      </c>
      <c r="D21" s="1"/>
      <c r="E21" s="1"/>
      <c r="F21" s="2441">
        <f>F17/F6*100</f>
        <v>5.5106591798284805</v>
      </c>
      <c r="G21" s="2441">
        <f t="shared" ref="G21:N21" si="6">G17/G6*100</f>
        <v>2.5440216093320709</v>
      </c>
      <c r="H21" s="2441">
        <f t="shared" si="6"/>
        <v>3.2007993447378458</v>
      </c>
      <c r="I21" s="2441">
        <f t="shared" si="6"/>
        <v>3.6567503138406177</v>
      </c>
      <c r="J21" s="2441">
        <f t="shared" si="6"/>
        <v>2.8763278990718675</v>
      </c>
      <c r="K21" s="2441">
        <f t="shared" si="6"/>
        <v>2.8871880885109134</v>
      </c>
      <c r="L21" s="2441">
        <f t="shared" si="6"/>
        <v>3.0346294735370458</v>
      </c>
      <c r="M21" s="1145">
        <v>3.7</v>
      </c>
      <c r="N21" s="2441">
        <f t="shared" si="6"/>
        <v>2.3219531354891951</v>
      </c>
      <c r="O21" s="2910">
        <f>O17/(O7+O16)</f>
        <v>1.8855248072076631E-2</v>
      </c>
      <c r="P21" s="2910">
        <f t="shared" ref="P21:Q21" si="7">P17/(P7+P16)</f>
        <v>1.7845891621196684E-2</v>
      </c>
      <c r="Q21" s="2910">
        <f t="shared" si="7"/>
        <v>4.4534985929401381E-2</v>
      </c>
      <c r="R21" s="998"/>
    </row>
    <row r="22" spans="1:18" ht="45">
      <c r="A22" s="3066"/>
      <c r="B22" s="3072" t="s">
        <v>1768</v>
      </c>
      <c r="C22" s="3072" t="s">
        <v>383</v>
      </c>
      <c r="D22" s="3067"/>
      <c r="E22" s="3067"/>
      <c r="F22" s="3068"/>
      <c r="G22" s="3068"/>
      <c r="H22" s="3068"/>
      <c r="I22" s="3068"/>
      <c r="J22" s="3068"/>
      <c r="K22" s="3068"/>
      <c r="L22" s="3068"/>
      <c r="M22" s="3069"/>
      <c r="N22" s="3068"/>
      <c r="O22" s="2637">
        <f>'расшифровки ВО_2016'!D351-'расшифровки ВО_2016'!E351</f>
        <v>41791.264000000003</v>
      </c>
      <c r="P22" s="3070"/>
      <c r="Q22" s="3070"/>
      <c r="R22" s="3071"/>
    </row>
    <row r="23" spans="1:18">
      <c r="A23" s="2292">
        <v>2</v>
      </c>
      <c r="B23" s="62" t="s">
        <v>1478</v>
      </c>
      <c r="C23" s="62" t="s">
        <v>383</v>
      </c>
      <c r="D23" s="1"/>
      <c r="E23" s="1"/>
      <c r="F23" s="1">
        <f>SUM(F24:F29)</f>
        <v>0</v>
      </c>
      <c r="G23" s="1">
        <f t="shared" ref="G23:N23" si="8">SUM(G24:G29)</f>
        <v>0</v>
      </c>
      <c r="H23" s="1">
        <f t="shared" si="8"/>
        <v>0</v>
      </c>
      <c r="I23" s="1">
        <f t="shared" si="8"/>
        <v>0</v>
      </c>
      <c r="J23" s="1">
        <f t="shared" si="8"/>
        <v>0</v>
      </c>
      <c r="K23" s="1">
        <f t="shared" si="8"/>
        <v>0</v>
      </c>
      <c r="L23" s="1">
        <f t="shared" si="8"/>
        <v>0</v>
      </c>
      <c r="M23" s="1">
        <f t="shared" si="8"/>
        <v>0</v>
      </c>
      <c r="N23" s="1">
        <f t="shared" si="8"/>
        <v>0</v>
      </c>
      <c r="O23" s="1"/>
      <c r="P23" s="1"/>
      <c r="Q23" s="1"/>
      <c r="R23" s="998"/>
    </row>
    <row r="24" spans="1:18" ht="30.75" hidden="1" customHeight="1">
      <c r="A24" s="1045" t="s">
        <v>52</v>
      </c>
      <c r="B24" s="2452" t="s">
        <v>1479</v>
      </c>
      <c r="C24" s="245" t="s">
        <v>383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998"/>
    </row>
    <row r="25" spans="1:18" s="2296" customFormat="1" ht="51" hidden="1" customHeight="1">
      <c r="A25" s="2293" t="s">
        <v>54</v>
      </c>
      <c r="B25" s="2431" t="s">
        <v>1480</v>
      </c>
      <c r="C25" s="2294" t="s">
        <v>383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2295"/>
    </row>
    <row r="26" spans="1:18" ht="23.25" hidden="1">
      <c r="A26" s="1045" t="s">
        <v>56</v>
      </c>
      <c r="B26" s="2452" t="s">
        <v>1481</v>
      </c>
      <c r="C26" s="245" t="s">
        <v>383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998"/>
    </row>
    <row r="27" spans="1:18" ht="39.75" customHeight="1">
      <c r="A27" s="1045" t="s">
        <v>261</v>
      </c>
      <c r="B27" s="2452" t="s">
        <v>1482</v>
      </c>
      <c r="C27" s="245" t="s">
        <v>383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998"/>
    </row>
    <row r="28" spans="1:18" ht="34.5" hidden="1" customHeight="1">
      <c r="A28" s="1045" t="s">
        <v>262</v>
      </c>
      <c r="B28" s="2452" t="s">
        <v>1483</v>
      </c>
      <c r="C28" s="245" t="s">
        <v>383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998"/>
    </row>
    <row r="29" spans="1:18" ht="30" customHeight="1">
      <c r="A29" s="1045" t="s">
        <v>292</v>
      </c>
      <c r="B29" s="2452" t="s">
        <v>1484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998"/>
    </row>
    <row r="30" spans="1:18" ht="18.75" customHeight="1">
      <c r="A30" s="2290" t="s">
        <v>62</v>
      </c>
      <c r="B30" s="62" t="s">
        <v>1485</v>
      </c>
      <c r="C30" s="62" t="s">
        <v>164</v>
      </c>
      <c r="D30" s="1"/>
      <c r="E30" s="1"/>
      <c r="F30" s="2304">
        <f>F6+F23</f>
        <v>308139.17983090581</v>
      </c>
      <c r="G30" s="2304">
        <f t="shared" ref="G30:N30" si="9">G6+G23</f>
        <v>421593.76327130198</v>
      </c>
      <c r="H30" s="2304">
        <f t="shared" si="9"/>
        <v>425645.55077150097</v>
      </c>
      <c r="I30" s="2304">
        <f t="shared" si="9"/>
        <v>658385.47134069481</v>
      </c>
      <c r="J30" s="2304">
        <f t="shared" si="9"/>
        <v>345881.30705398228</v>
      </c>
      <c r="K30" s="2304">
        <f t="shared" si="9"/>
        <v>760586.57134153415</v>
      </c>
      <c r="L30" s="2304">
        <f t="shared" si="9"/>
        <v>925124.69228442758</v>
      </c>
      <c r="M30" s="2304">
        <f t="shared" si="9"/>
        <v>933931.25136139453</v>
      </c>
      <c r="N30" s="2304">
        <f t="shared" si="9"/>
        <v>971940.37446605554</v>
      </c>
      <c r="O30" s="416">
        <f>O6-O22</f>
        <v>438045.14909279242</v>
      </c>
      <c r="P30" s="416">
        <f t="shared" ref="P30:Q30" si="10">P6-P22</f>
        <v>571379.69672245428</v>
      </c>
      <c r="Q30" s="416">
        <f t="shared" si="10"/>
        <v>623179.59682618547</v>
      </c>
      <c r="R30" s="998"/>
    </row>
    <row r="31" spans="1:18" ht="17.25" customHeight="1">
      <c r="A31" s="2290" t="s">
        <v>99</v>
      </c>
      <c r="B31" s="229" t="s">
        <v>1486</v>
      </c>
      <c r="C31" s="1" t="s">
        <v>1487</v>
      </c>
      <c r="D31" s="1"/>
      <c r="E31" s="1"/>
      <c r="F31" s="1344">
        <f>F30/F32</f>
        <v>6.3086780860357798</v>
      </c>
      <c r="G31" s="1344">
        <f t="shared" ref="G31:N31" si="11">G30/G32</f>
        <v>9.6024482795124086</v>
      </c>
      <c r="H31" s="1344">
        <f t="shared" si="11"/>
        <v>8.6891795377492098</v>
      </c>
      <c r="I31" s="1344">
        <f t="shared" si="11"/>
        <v>15.552912116517287</v>
      </c>
      <c r="J31" s="1344">
        <f t="shared" si="11"/>
        <v>16.097235866057723</v>
      </c>
      <c r="K31" s="1344">
        <f t="shared" si="11"/>
        <v>17.967190549873632</v>
      </c>
      <c r="L31" s="1344">
        <f t="shared" si="11"/>
        <v>21.565447259177951</v>
      </c>
      <c r="M31" s="1344">
        <f t="shared" si="11"/>
        <v>21.923928073081132</v>
      </c>
      <c r="N31" s="1344">
        <f t="shared" si="11"/>
        <v>22.507938169912599</v>
      </c>
      <c r="O31" s="1297">
        <f>O30/O32</f>
        <v>8.1267197936268918</v>
      </c>
      <c r="P31" s="1297">
        <f t="shared" ref="P31:Q31" si="12">P30/P32</f>
        <v>10.452873464382098</v>
      </c>
      <c r="Q31" s="1297">
        <f t="shared" si="12"/>
        <v>11.300957551175117</v>
      </c>
      <c r="R31" s="998"/>
    </row>
    <row r="32" spans="1:18">
      <c r="A32" s="2290" t="s">
        <v>221</v>
      </c>
      <c r="B32" s="62" t="s">
        <v>1764</v>
      </c>
      <c r="C32" s="245" t="s">
        <v>801</v>
      </c>
      <c r="D32" s="1"/>
      <c r="E32" s="1"/>
      <c r="F32" s="416">
        <f>'[6]Смета ВО_2016'!D100</f>
        <v>48843.7</v>
      </c>
      <c r="G32" s="416">
        <f>'[6]Смета ВО_2016'!E100</f>
        <v>43904.82</v>
      </c>
      <c r="H32" s="416">
        <f>'[6]Смета ВО_2016'!F100</f>
        <v>48985.701000000001</v>
      </c>
      <c r="I32" s="416">
        <f>'[6]Смета ВО_2016'!G100</f>
        <v>42331.974000000002</v>
      </c>
      <c r="J32" s="416">
        <v>21487</v>
      </c>
      <c r="K32" s="416">
        <v>42331.97</v>
      </c>
      <c r="L32" s="416">
        <f>'[6]Смета ВО_2016'!H100</f>
        <v>42898.47</v>
      </c>
      <c r="M32" s="416">
        <f>'[6]Смета ВО_2016'!I100</f>
        <v>42598.718999999997</v>
      </c>
      <c r="N32" s="416">
        <f>'[6]Смета ВО_2016'!J100</f>
        <v>43182.115000000005</v>
      </c>
      <c r="O32" s="416">
        <f>'Баланс ВО 2016'!L12</f>
        <v>53901.839883333334</v>
      </c>
      <c r="P32" s="416">
        <f>'Баланс ВО 2016'!M12</f>
        <v>54662.452259602695</v>
      </c>
      <c r="Q32" s="416">
        <f>'Баланс ВО 2016'!N12</f>
        <v>55143.964040585648</v>
      </c>
      <c r="R32" s="998"/>
    </row>
    <row r="33" spans="1:18">
      <c r="A33" s="1037">
        <v>6</v>
      </c>
      <c r="B33" s="1" t="s">
        <v>389</v>
      </c>
      <c r="C33" s="92" t="s">
        <v>280</v>
      </c>
      <c r="D33" s="1"/>
      <c r="E33" s="1"/>
      <c r="F33" s="1"/>
      <c r="G33" s="416">
        <f>(G31/F31-1)*100</f>
        <v>52.210148442466405</v>
      </c>
      <c r="H33" s="416"/>
      <c r="I33" s="416">
        <f t="shared" ref="I33:N33" si="13">(I31/H31-1)*100</f>
        <v>78.99172239391909</v>
      </c>
      <c r="J33" s="416"/>
      <c r="K33" s="416">
        <f t="shared" ref="K33" si="14">(K31/J31-1)*100</f>
        <v>11.616619768607928</v>
      </c>
      <c r="L33" s="416">
        <f>(L31/K31-1)*100</f>
        <v>20.0268188803153</v>
      </c>
      <c r="M33" s="416">
        <f t="shared" si="13"/>
        <v>1.6622925070594929</v>
      </c>
      <c r="N33" s="416">
        <f t="shared" si="13"/>
        <v>2.6638022843567422</v>
      </c>
      <c r="O33" s="1"/>
      <c r="P33" s="1"/>
      <c r="Q33" s="1"/>
      <c r="R33" s="998"/>
    </row>
    <row r="34" spans="1:18" ht="15.75" thickBot="1">
      <c r="A34" s="2299"/>
      <c r="B34" s="540"/>
      <c r="C34" s="540"/>
      <c r="D34" s="540"/>
      <c r="E34" s="540"/>
      <c r="F34" s="540"/>
      <c r="G34" s="540"/>
      <c r="H34" s="540"/>
      <c r="I34" s="540"/>
      <c r="J34" s="540"/>
      <c r="K34" s="540"/>
      <c r="L34" s="540"/>
      <c r="M34" s="540"/>
      <c r="N34" s="540"/>
      <c r="O34" s="540"/>
      <c r="P34" s="540"/>
      <c r="Q34" s="540"/>
      <c r="R34" s="1098"/>
    </row>
    <row r="35" spans="1:18">
      <c r="L35" s="500"/>
    </row>
    <row r="36" spans="1:18">
      <c r="J36" s="423"/>
      <c r="K36" s="423"/>
      <c r="L36" s="423"/>
      <c r="M36" s="423"/>
      <c r="N36" s="423"/>
    </row>
    <row r="37" spans="1:18" ht="15.75">
      <c r="J37" s="403"/>
      <c r="K37" s="3378" t="s">
        <v>370</v>
      </c>
      <c r="L37" s="3378" t="s">
        <v>1736</v>
      </c>
      <c r="M37" s="3380" t="s">
        <v>1678</v>
      </c>
      <c r="N37" s="3381"/>
      <c r="O37" s="3380" t="s">
        <v>1679</v>
      </c>
      <c r="P37" s="3381"/>
      <c r="Q37" s="3380" t="s">
        <v>1677</v>
      </c>
      <c r="R37" s="3381"/>
    </row>
    <row r="38" spans="1:18" ht="24.75">
      <c r="J38" s="423"/>
      <c r="K38" s="3379"/>
      <c r="L38" s="3379"/>
      <c r="M38" s="2916" t="s">
        <v>1737</v>
      </c>
      <c r="N38" s="2916" t="s">
        <v>1738</v>
      </c>
      <c r="O38" s="2916" t="s">
        <v>1737</v>
      </c>
      <c r="P38" s="2916" t="s">
        <v>1738</v>
      </c>
      <c r="Q38" s="2916" t="s">
        <v>1737</v>
      </c>
      <c r="R38" s="2916" t="s">
        <v>1738</v>
      </c>
    </row>
    <row r="39" spans="1:18">
      <c r="K39" s="1" t="s">
        <v>1739</v>
      </c>
      <c r="L39" s="1406" t="s">
        <v>1740</v>
      </c>
      <c r="M39" s="2917">
        <f>O32/2</f>
        <v>26950.919941666667</v>
      </c>
      <c r="N39" s="2918">
        <f>O32-M39</f>
        <v>26950.919941666667</v>
      </c>
      <c r="O39" s="2918">
        <f>P32/2</f>
        <v>27331.226129801347</v>
      </c>
      <c r="P39" s="2918">
        <f>P32-O39</f>
        <v>27331.226129801347</v>
      </c>
      <c r="Q39" s="2919">
        <f>Q32/2</f>
        <v>27571.982020292824</v>
      </c>
      <c r="R39" s="2612">
        <f>Q32-Q39</f>
        <v>27571.982020292824</v>
      </c>
    </row>
    <row r="40" spans="1:18">
      <c r="K40" s="1" t="s">
        <v>1741</v>
      </c>
      <c r="L40" s="1406" t="s">
        <v>143</v>
      </c>
      <c r="M40" s="2612">
        <v>6.35</v>
      </c>
      <c r="N40" s="2612">
        <f>N41/N39</f>
        <v>9.9034395872537822</v>
      </c>
      <c r="O40" s="2612">
        <f>N40</f>
        <v>9.9034395872537822</v>
      </c>
      <c r="P40" s="2612">
        <f>P41/P39</f>
        <v>11.002307341510415</v>
      </c>
      <c r="Q40" s="2612">
        <f>P40</f>
        <v>11.002307341510415</v>
      </c>
      <c r="R40" s="1297">
        <f>R41/R39</f>
        <v>11.599607760839818</v>
      </c>
    </row>
    <row r="41" spans="1:18">
      <c r="K41" s="1" t="s">
        <v>1742</v>
      </c>
      <c r="L41" s="1406" t="s">
        <v>32</v>
      </c>
      <c r="M41" s="1297">
        <f>M39*M40</f>
        <v>171138.34162958333</v>
      </c>
      <c r="N41" s="2612">
        <f>O30-M41</f>
        <v>266906.80746320909</v>
      </c>
      <c r="O41" s="2612">
        <f>O39*O40</f>
        <v>270673.14682205964</v>
      </c>
      <c r="P41" s="2612">
        <f>P30-O41</f>
        <v>300706.54990039463</v>
      </c>
      <c r="Q41" s="2612">
        <f>Q39*Q40</f>
        <v>303355.42020186089</v>
      </c>
      <c r="R41" s="2612">
        <f>Q30-Q41</f>
        <v>319824.17662432458</v>
      </c>
    </row>
    <row r="42" spans="1:18">
      <c r="K42" s="3372" t="s">
        <v>1743</v>
      </c>
      <c r="L42" s="3373"/>
      <c r="M42" s="3374">
        <f>N40/M40</f>
        <v>1.5595967853942965</v>
      </c>
      <c r="N42" s="3375"/>
      <c r="O42" s="3374">
        <f t="shared" ref="O42" si="15">P40/O40</f>
        <v>1.1109581923103695</v>
      </c>
      <c r="P42" s="3375"/>
      <c r="Q42" s="3374">
        <f t="shared" ref="Q42" si="16">R40/Q40</f>
        <v>1.0542886506247522</v>
      </c>
      <c r="R42" s="3375"/>
    </row>
  </sheetData>
  <mergeCells count="21">
    <mergeCell ref="K42:L42"/>
    <mergeCell ref="M42:N42"/>
    <mergeCell ref="O42:P42"/>
    <mergeCell ref="Q42:R42"/>
    <mergeCell ref="K37:K38"/>
    <mergeCell ref="L37:L38"/>
    <mergeCell ref="M37:N37"/>
    <mergeCell ref="O37:P37"/>
    <mergeCell ref="Q37:R37"/>
    <mergeCell ref="O4:Q4"/>
    <mergeCell ref="R4:R5"/>
    <mergeCell ref="B3:M3"/>
    <mergeCell ref="A4:A5"/>
    <mergeCell ref="B4:B5"/>
    <mergeCell ref="C4:C5"/>
    <mergeCell ref="D4:E4"/>
    <mergeCell ref="F4:G4"/>
    <mergeCell ref="H4:I4"/>
    <mergeCell ref="L4:N4"/>
    <mergeCell ref="J4:J5"/>
    <mergeCell ref="K4:K5"/>
  </mergeCells>
  <pageMargins left="0.51181102362204722" right="0.51181102362204722" top="0.74803149606299213" bottom="0.74803149606299213" header="0.31496062992125984" footer="0.31496062992125984"/>
  <pageSetup paperSize="9" scale="6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38"/>
  <sheetViews>
    <sheetView topLeftCell="A4" workbookViewId="0">
      <selection activeCell="H17" sqref="H17"/>
    </sheetView>
  </sheetViews>
  <sheetFormatPr defaultRowHeight="15"/>
  <cols>
    <col min="1" max="1" width="37.5703125" style="658" customWidth="1"/>
    <col min="2" max="2" width="15.28515625" style="658" customWidth="1"/>
    <col min="3" max="3" width="15.42578125" style="658" customWidth="1"/>
    <col min="4" max="4" width="13.5703125" style="658" customWidth="1"/>
    <col min="5" max="5" width="12.42578125" style="658" customWidth="1"/>
    <col min="6" max="6" width="15" style="658" customWidth="1"/>
    <col min="7" max="7" width="9.140625" style="658"/>
    <col min="8" max="8" width="11.42578125" style="658" customWidth="1"/>
    <col min="9" max="9" width="10.85546875" style="658" customWidth="1"/>
    <col min="10" max="10" width="9.5703125" style="658" customWidth="1"/>
    <col min="11" max="16384" width="9.140625" style="658"/>
  </cols>
  <sheetData>
    <row r="2" spans="1:44">
      <c r="A2" s="658" t="s">
        <v>1268</v>
      </c>
    </row>
    <row r="3" spans="1:44">
      <c r="A3" s="1802" t="s">
        <v>1553</v>
      </c>
      <c r="B3" s="1802"/>
      <c r="C3" s="1802"/>
      <c r="D3" s="1802"/>
      <c r="E3" s="1802"/>
      <c r="F3" s="1802"/>
      <c r="G3" s="1802"/>
      <c r="H3" s="1802"/>
      <c r="I3" s="1802"/>
      <c r="J3" s="1802"/>
      <c r="K3" s="1802"/>
      <c r="L3" s="1802"/>
      <c r="M3" s="1802"/>
      <c r="N3" s="1802"/>
      <c r="O3" s="1802"/>
      <c r="P3" s="1802"/>
      <c r="Q3" s="1802"/>
      <c r="R3" s="1802"/>
      <c r="S3" s="1802"/>
      <c r="T3" s="1802"/>
      <c r="U3" s="1802"/>
      <c r="V3" s="1802"/>
      <c r="W3" s="1802"/>
      <c r="X3" s="1802"/>
      <c r="Y3" s="1802"/>
      <c r="Z3" s="1802"/>
      <c r="AA3" s="1802"/>
      <c r="AB3" s="1802"/>
      <c r="AC3" s="1802"/>
      <c r="AD3" s="1802"/>
      <c r="AE3" s="1802"/>
      <c r="AF3" s="1802"/>
      <c r="AG3" s="1802"/>
      <c r="AH3" s="1802"/>
      <c r="AI3" s="1802"/>
      <c r="AJ3" s="1802"/>
      <c r="AK3" s="1802"/>
      <c r="AL3" s="1802"/>
      <c r="AM3" s="1802"/>
      <c r="AN3" s="1802"/>
      <c r="AO3" s="1802"/>
      <c r="AP3" s="1802"/>
      <c r="AQ3" s="1802"/>
      <c r="AR3" s="1802"/>
    </row>
    <row r="7" spans="1:44">
      <c r="A7" s="658" t="s">
        <v>1554</v>
      </c>
    </row>
    <row r="8" spans="1:44" ht="15.75" thickBot="1"/>
    <row r="9" spans="1:44">
      <c r="A9" s="2456" t="s">
        <v>455</v>
      </c>
      <c r="B9" s="2457">
        <v>2016</v>
      </c>
      <c r="C9" s="2457">
        <v>2016</v>
      </c>
      <c r="D9" s="2458">
        <v>2016</v>
      </c>
    </row>
    <row r="10" spans="1:44" ht="63">
      <c r="A10" s="2459" t="s">
        <v>1555</v>
      </c>
      <c r="B10" s="2460" t="s">
        <v>1556</v>
      </c>
      <c r="C10" s="2460" t="s">
        <v>1557</v>
      </c>
      <c r="D10" s="2461" t="s">
        <v>1558</v>
      </c>
    </row>
    <row r="11" spans="1:44">
      <c r="A11" s="2462" t="s">
        <v>1559</v>
      </c>
      <c r="B11" s="2463">
        <f>164992.37+5953.88+25254.5</f>
        <v>196200.75</v>
      </c>
      <c r="C11" s="2463">
        <f>58069.98*1.06*1.05</f>
        <v>64631.887740000013</v>
      </c>
      <c r="D11" s="2464">
        <f>C11/B11</f>
        <v>0.32941712883360547</v>
      </c>
    </row>
    <row r="12" spans="1:44">
      <c r="A12" s="2462" t="s">
        <v>1560</v>
      </c>
      <c r="B12" s="2463">
        <f>49827.7+1798.07+7626.86</f>
        <v>59252.63</v>
      </c>
      <c r="C12" s="2463">
        <f>C11*0.302</f>
        <v>19518.830097480004</v>
      </c>
      <c r="D12" s="2464">
        <f t="shared" ref="D12:D20" si="0">C12/B12</f>
        <v>0.3294171093752295</v>
      </c>
    </row>
    <row r="13" spans="1:44">
      <c r="A13" s="2462" t="s">
        <v>1561</v>
      </c>
      <c r="B13" s="2463">
        <v>13726.81</v>
      </c>
      <c r="C13" s="2463">
        <v>0</v>
      </c>
      <c r="D13" s="2464">
        <f t="shared" si="0"/>
        <v>0</v>
      </c>
    </row>
    <row r="14" spans="1:44">
      <c r="A14" s="2462" t="s">
        <v>13</v>
      </c>
      <c r="B14" s="2463">
        <v>95060.88</v>
      </c>
      <c r="C14" s="2463">
        <v>0</v>
      </c>
      <c r="D14" s="2464">
        <f t="shared" si="0"/>
        <v>0</v>
      </c>
    </row>
    <row r="15" spans="1:44">
      <c r="A15" s="2462" t="s">
        <v>1562</v>
      </c>
      <c r="B15" s="2463">
        <f>18169.56</f>
        <v>18169.560000000001</v>
      </c>
      <c r="C15" s="2463">
        <v>9440</v>
      </c>
      <c r="D15" s="2464">
        <f t="shared" si="0"/>
        <v>0.51955028079931487</v>
      </c>
    </row>
    <row r="16" spans="1:44">
      <c r="A16" s="2462" t="s">
        <v>663</v>
      </c>
      <c r="B16" s="2463">
        <v>86016.85</v>
      </c>
      <c r="C16" s="2463">
        <v>37227.33</v>
      </c>
      <c r="D16" s="2464">
        <f t="shared" si="0"/>
        <v>0.43279113336514879</v>
      </c>
    </row>
    <row r="17" spans="1:4">
      <c r="A17" s="2462" t="s">
        <v>391</v>
      </c>
      <c r="B17" s="2463">
        <v>25971</v>
      </c>
      <c r="C17" s="2463">
        <f>B17*[12]распределение!D30</f>
        <v>13367.181839281542</v>
      </c>
      <c r="D17" s="2464">
        <f t="shared" si="0"/>
        <v>0.51469646295027305</v>
      </c>
    </row>
    <row r="18" spans="1:4">
      <c r="A18" s="2462" t="s">
        <v>1563</v>
      </c>
      <c r="B18" s="2463">
        <f>8029.65+5958.11</f>
        <v>13987.759999999998</v>
      </c>
      <c r="C18" s="2463">
        <f>B18*[12]распределение!D31</f>
        <v>3001.6180338437393</v>
      </c>
      <c r="D18" s="2464">
        <f t="shared" si="0"/>
        <v>0.21458890014153373</v>
      </c>
    </row>
    <row r="19" spans="1:4">
      <c r="A19" s="2462" t="s">
        <v>1564</v>
      </c>
      <c r="B19" s="2463">
        <f>8560+2931+4666.78+546.25+324.09+156.57+7595.03+16066+8528.66</f>
        <v>49374.380000000005</v>
      </c>
      <c r="C19" s="2463">
        <f>B19*[12]распределение!D32</f>
        <v>25412.8187463627</v>
      </c>
      <c r="D19" s="2464">
        <f t="shared" si="0"/>
        <v>0.51469646295027294</v>
      </c>
    </row>
    <row r="20" spans="1:4" ht="15.75" thickBot="1">
      <c r="A20" s="2465" t="s">
        <v>1565</v>
      </c>
      <c r="B20" s="2466">
        <f>SUM(B11:B19)+745</f>
        <v>558505.62</v>
      </c>
      <c r="C20" s="2466">
        <f t="shared" ref="C20" si="1">SUM(C11:C19)+745</f>
        <v>173344.66645696797</v>
      </c>
      <c r="D20" s="2467">
        <f t="shared" si="0"/>
        <v>0.31037228677657347</v>
      </c>
    </row>
    <row r="22" spans="1:4" ht="38.25">
      <c r="A22" s="2468" t="s">
        <v>1566</v>
      </c>
      <c r="B22" s="2469">
        <f>D20</f>
        <v>0.31037228677657347</v>
      </c>
    </row>
    <row r="24" spans="1:4" ht="15.75" thickBot="1">
      <c r="A24" s="658" t="s">
        <v>1567</v>
      </c>
    </row>
    <row r="25" spans="1:4">
      <c r="A25" s="2456" t="s">
        <v>370</v>
      </c>
      <c r="B25" s="2457">
        <v>2016</v>
      </c>
      <c r="C25" s="3664">
        <v>2016</v>
      </c>
      <c r="D25" s="3665"/>
    </row>
    <row r="26" spans="1:4" ht="64.5">
      <c r="A26" s="2459" t="s">
        <v>1555</v>
      </c>
      <c r="B26" s="2460" t="s">
        <v>1568</v>
      </c>
      <c r="C26" s="2460" t="s">
        <v>1569</v>
      </c>
      <c r="D26" s="2461" t="s">
        <v>1558</v>
      </c>
    </row>
    <row r="27" spans="1:4">
      <c r="A27" s="2462" t="s">
        <v>1559</v>
      </c>
      <c r="B27" s="2463">
        <f>114655.77+4137.34+17549.7</f>
        <v>136342.81</v>
      </c>
      <c r="C27" s="2463">
        <f>56476*1.06*1.05</f>
        <v>62857.788000000008</v>
      </c>
      <c r="D27" s="2470">
        <f>C27/B27</f>
        <v>0.46102752319685952</v>
      </c>
    </row>
    <row r="28" spans="1:4">
      <c r="A28" s="2462" t="s">
        <v>1560</v>
      </c>
      <c r="B28" s="2463">
        <f>34626.04+1249.48+5300.01</f>
        <v>41175.530000000006</v>
      </c>
      <c r="C28" s="2463">
        <f>C27*0.302</f>
        <v>18983.051976000002</v>
      </c>
      <c r="D28" s="2470">
        <f t="shared" ref="D28:D36" si="2">C28/B28</f>
        <v>0.46102750774549833</v>
      </c>
    </row>
    <row r="29" spans="1:4">
      <c r="A29" s="2462" t="s">
        <v>1570</v>
      </c>
      <c r="B29" s="2463">
        <v>101832.03</v>
      </c>
      <c r="C29" s="2463"/>
      <c r="D29" s="2470">
        <f t="shared" si="2"/>
        <v>0</v>
      </c>
    </row>
    <row r="30" spans="1:4">
      <c r="A30" s="2462" t="s">
        <v>13</v>
      </c>
      <c r="B30" s="2463">
        <v>260.93</v>
      </c>
      <c r="C30" s="2463"/>
      <c r="D30" s="2470">
        <f t="shared" si="2"/>
        <v>0</v>
      </c>
    </row>
    <row r="31" spans="1:4">
      <c r="A31" s="2462" t="s">
        <v>1562</v>
      </c>
      <c r="B31" s="2463">
        <f>10840.41</f>
        <v>10840.41</v>
      </c>
      <c r="C31" s="2463">
        <v>10444</v>
      </c>
      <c r="D31" s="2470">
        <f t="shared" si="2"/>
        <v>0.96343219490775722</v>
      </c>
    </row>
    <row r="32" spans="1:4">
      <c r="A32" s="2462" t="s">
        <v>663</v>
      </c>
      <c r="B32" s="2463">
        <v>10918.05</v>
      </c>
      <c r="C32" s="2463">
        <v>10269</v>
      </c>
      <c r="D32" s="2470">
        <f t="shared" si="2"/>
        <v>0.9405525712009013</v>
      </c>
    </row>
    <row r="33" spans="1:4">
      <c r="A33" s="2462" t="s">
        <v>391</v>
      </c>
      <c r="B33" s="2463">
        <f>15684</f>
        <v>15684</v>
      </c>
      <c r="C33" s="2463">
        <f>B33*[12]распределение!E30</f>
        <v>1972.173717309543</v>
      </c>
      <c r="D33" s="2470">
        <f t="shared" si="2"/>
        <v>0.12574430740305681</v>
      </c>
    </row>
    <row r="34" spans="1:4">
      <c r="A34" s="2462" t="s">
        <v>1563</v>
      </c>
      <c r="B34" s="2463">
        <f>5711.23+3816.89</f>
        <v>9528.119999999999</v>
      </c>
      <c r="C34" s="2463">
        <f>B34*[12]распределение!E31</f>
        <v>243.11117347058007</v>
      </c>
      <c r="D34" s="2470">
        <f t="shared" si="2"/>
        <v>2.5515125068804771E-2</v>
      </c>
    </row>
    <row r="35" spans="1:4">
      <c r="A35" s="2462" t="s">
        <v>1564</v>
      </c>
      <c r="B35" s="2463">
        <f>11164.6+5860.56+3243.02+26.86+379.6+225.21+108.8+7444.3+3307.25</f>
        <v>31760.199999999997</v>
      </c>
      <c r="C35" s="2463">
        <f>B35*[12]распределение!E32</f>
        <v>5807.1892183595528</v>
      </c>
      <c r="D35" s="2470">
        <f t="shared" si="2"/>
        <v>0.18284485671877235</v>
      </c>
    </row>
    <row r="36" spans="1:4" ht="15.75" thickBot="1">
      <c r="A36" s="2465" t="s">
        <v>1565</v>
      </c>
      <c r="B36" s="2466">
        <f>SUM(B27:B35)+745</f>
        <v>359087.07999999996</v>
      </c>
      <c r="C36" s="2466">
        <f>SUM(C27:C35)+745</f>
        <v>111321.31408513969</v>
      </c>
      <c r="D36" s="2471">
        <f t="shared" si="2"/>
        <v>0.31001202851726023</v>
      </c>
    </row>
    <row r="38" spans="1:4" ht="38.25">
      <c r="A38" s="2468" t="s">
        <v>1571</v>
      </c>
      <c r="B38" s="2469">
        <f>D36</f>
        <v>0.31001202851726023</v>
      </c>
    </row>
  </sheetData>
  <mergeCells count="1">
    <mergeCell ref="C25:D25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workbookViewId="0">
      <selection activeCell="H4" sqref="H4"/>
    </sheetView>
  </sheetViews>
  <sheetFormatPr defaultRowHeight="15"/>
  <cols>
    <col min="1" max="1" width="30.42578125" style="658" customWidth="1"/>
    <col min="2" max="2" width="16.85546875" style="658" customWidth="1"/>
    <col min="3" max="3" width="14.42578125" style="658" customWidth="1"/>
    <col min="4" max="4" width="12.42578125" style="658" customWidth="1"/>
    <col min="5" max="5" width="9.5703125" style="658" bestFit="1" customWidth="1"/>
    <col min="6" max="6" width="9.140625" style="658"/>
    <col min="7" max="7" width="11.7109375" style="658" customWidth="1"/>
    <col min="8" max="8" width="9.140625" style="658"/>
    <col min="9" max="9" width="11" style="658" bestFit="1" customWidth="1"/>
    <col min="10" max="10" width="9.140625" style="658"/>
    <col min="11" max="11" width="10.5703125" style="658" customWidth="1"/>
    <col min="12" max="14" width="9.140625" style="658"/>
    <col min="15" max="15" width="11.5703125" style="658" customWidth="1"/>
    <col min="16" max="16384" width="9.140625" style="658"/>
  </cols>
  <sheetData>
    <row r="1" spans="1:15">
      <c r="A1" s="2472" t="s">
        <v>1572</v>
      </c>
      <c r="B1" s="2472"/>
      <c r="C1" s="2472"/>
      <c r="D1" s="2472"/>
      <c r="E1" s="2472"/>
      <c r="F1" s="2472"/>
      <c r="G1" s="698"/>
      <c r="H1" s="698"/>
      <c r="I1" s="698"/>
      <c r="J1" s="698"/>
      <c r="K1" s="698"/>
      <c r="L1" s="698"/>
      <c r="M1" s="698"/>
      <c r="N1" s="698"/>
    </row>
    <row r="2" spans="1:15">
      <c r="A2" s="698" t="s">
        <v>1573</v>
      </c>
      <c r="B2" s="698"/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  <c r="N2" s="698"/>
    </row>
    <row r="3" spans="1:15">
      <c r="A3" s="698" t="s">
        <v>1574</v>
      </c>
      <c r="B3" s="698"/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</row>
    <row r="4" spans="1:15">
      <c r="A4" s="698"/>
      <c r="B4" s="698"/>
      <c r="C4" s="698"/>
      <c r="D4" s="698"/>
      <c r="E4" s="698"/>
      <c r="F4" s="698"/>
      <c r="G4" s="698"/>
      <c r="H4" s="698"/>
      <c r="I4" s="698"/>
      <c r="J4" s="698"/>
      <c r="K4" s="698"/>
      <c r="L4" s="698"/>
      <c r="M4" s="698"/>
      <c r="N4" s="698"/>
    </row>
    <row r="5" spans="1:15" ht="15.75" thickBot="1">
      <c r="A5" s="698" t="s">
        <v>1575</v>
      </c>
      <c r="B5" s="698"/>
      <c r="C5" s="698"/>
      <c r="D5" s="698"/>
      <c r="E5" s="698"/>
      <c r="F5" s="698"/>
      <c r="G5" s="698"/>
      <c r="H5" s="698"/>
      <c r="I5" s="698"/>
      <c r="J5" s="698"/>
      <c r="K5" s="698"/>
      <c r="L5" s="698"/>
      <c r="M5" s="698"/>
      <c r="N5" s="698"/>
    </row>
    <row r="6" spans="1:15" ht="30" customHeight="1" thickBot="1">
      <c r="A6" s="2473" t="s">
        <v>1576</v>
      </c>
      <c r="B6" s="2474" t="s">
        <v>1577</v>
      </c>
      <c r="C6" s="2474" t="s">
        <v>1578</v>
      </c>
      <c r="D6" s="2475" t="s">
        <v>1579</v>
      </c>
      <c r="E6" s="3666" t="s">
        <v>1580</v>
      </c>
      <c r="F6" s="3666" t="s">
        <v>1581</v>
      </c>
      <c r="G6" s="3666" t="s">
        <v>1582</v>
      </c>
      <c r="H6" s="3668" t="s">
        <v>1583</v>
      </c>
      <c r="I6" s="3669"/>
      <c r="J6" s="3670"/>
      <c r="K6" s="2476"/>
      <c r="L6" s="2477"/>
      <c r="M6" s="3671" t="s">
        <v>1584</v>
      </c>
      <c r="N6" s="3672"/>
      <c r="O6" s="3673"/>
    </row>
    <row r="7" spans="1:15" ht="21">
      <c r="A7" s="2478"/>
      <c r="B7" s="2479">
        <v>0.6</v>
      </c>
      <c r="C7" s="2479">
        <v>0.4</v>
      </c>
      <c r="D7" s="2480"/>
      <c r="E7" s="3667"/>
      <c r="F7" s="3667"/>
      <c r="G7" s="3667"/>
      <c r="H7" s="2481" t="s">
        <v>1585</v>
      </c>
      <c r="I7" s="2482" t="s">
        <v>1586</v>
      </c>
      <c r="J7" s="2482" t="s">
        <v>1587</v>
      </c>
      <c r="K7" s="2483" t="s">
        <v>1588</v>
      </c>
      <c r="L7" s="2484" t="s">
        <v>1585</v>
      </c>
      <c r="M7" s="2485" t="s">
        <v>1586</v>
      </c>
      <c r="N7" s="2485" t="s">
        <v>1587</v>
      </c>
      <c r="O7" s="2486" t="s">
        <v>1588</v>
      </c>
    </row>
    <row r="8" spans="1:15">
      <c r="A8" s="2487" t="s">
        <v>1589</v>
      </c>
      <c r="B8" s="2488">
        <v>0</v>
      </c>
      <c r="C8" s="2488">
        <v>78739.359018230491</v>
      </c>
      <c r="D8" s="2489">
        <v>0</v>
      </c>
      <c r="E8" s="2488">
        <v>0</v>
      </c>
      <c r="F8" s="2488">
        <v>265.03963176951152</v>
      </c>
      <c r="G8" s="2489"/>
      <c r="H8" s="2490">
        <v>0</v>
      </c>
      <c r="I8" s="2491">
        <v>0</v>
      </c>
      <c r="J8" s="2491">
        <v>0</v>
      </c>
      <c r="K8" s="2492">
        <v>0</v>
      </c>
      <c r="L8" s="2490">
        <v>0</v>
      </c>
      <c r="M8" s="2491">
        <v>0</v>
      </c>
      <c r="N8" s="2491">
        <v>0</v>
      </c>
      <c r="O8" s="2492">
        <v>0</v>
      </c>
    </row>
    <row r="9" spans="1:15">
      <c r="A9" s="2487" t="s">
        <v>21</v>
      </c>
      <c r="B9" s="2488">
        <v>68715.818093630718</v>
      </c>
      <c r="C9" s="2488">
        <v>0</v>
      </c>
      <c r="D9" s="2489">
        <v>17383.081050000001</v>
      </c>
      <c r="E9" s="2488">
        <v>19168.47572314884</v>
      </c>
      <c r="F9" s="2488">
        <v>1444.427823220451</v>
      </c>
      <c r="G9" s="2489"/>
      <c r="H9" s="2490">
        <v>399.32443110552867</v>
      </c>
      <c r="I9" s="2491">
        <v>247.87661229953818</v>
      </c>
      <c r="J9" s="2491">
        <v>23.900376594933167</v>
      </c>
      <c r="K9" s="2492">
        <v>671.10141999999996</v>
      </c>
      <c r="L9" s="2490">
        <v>163.09118449506178</v>
      </c>
      <c r="M9" s="2491">
        <v>101.23720754233405</v>
      </c>
      <c r="N9" s="2491">
        <v>9.7613379626041485</v>
      </c>
      <c r="O9" s="2492">
        <v>274.08972999999997</v>
      </c>
    </row>
    <row r="10" spans="1:15">
      <c r="A10" s="2487" t="s">
        <v>104</v>
      </c>
      <c r="B10" s="2488">
        <v>10499.072011865532</v>
      </c>
      <c r="C10" s="2488">
        <v>7228.5428796317547</v>
      </c>
      <c r="D10" s="2489">
        <v>15779.587343865533</v>
      </c>
      <c r="E10" s="2488">
        <v>26495.461796816388</v>
      </c>
      <c r="F10" s="2488">
        <v>4484.7571878207909</v>
      </c>
      <c r="G10" s="2489"/>
      <c r="H10" s="2490">
        <v>1228.7267908180704</v>
      </c>
      <c r="I10" s="2491">
        <v>762.71976023720367</v>
      </c>
      <c r="J10" s="2491">
        <v>73.541788944725951</v>
      </c>
      <c r="K10" s="2492">
        <v>2064.9883399999999</v>
      </c>
      <c r="L10" s="2490">
        <v>7077.5879279767232</v>
      </c>
      <c r="M10" s="2491">
        <v>4393.3413089252099</v>
      </c>
      <c r="N10" s="2491">
        <v>423.60798309806796</v>
      </c>
      <c r="O10" s="2492">
        <v>11894.53722</v>
      </c>
    </row>
    <row r="11" spans="1:15">
      <c r="A11" s="2487" t="s">
        <v>1590</v>
      </c>
      <c r="B11" s="2488">
        <v>0</v>
      </c>
      <c r="C11" s="2488">
        <v>0</v>
      </c>
      <c r="D11" s="2489">
        <v>0</v>
      </c>
      <c r="E11" s="2488">
        <v>0</v>
      </c>
      <c r="F11" s="2488">
        <v>0</v>
      </c>
      <c r="G11" s="2489"/>
      <c r="H11" s="2490">
        <v>0</v>
      </c>
      <c r="I11" s="2491">
        <v>0</v>
      </c>
      <c r="J11" s="2491">
        <v>0</v>
      </c>
      <c r="K11" s="2492">
        <v>0</v>
      </c>
      <c r="L11" s="2490">
        <v>0</v>
      </c>
      <c r="M11" s="2491">
        <v>0</v>
      </c>
      <c r="N11" s="2491">
        <v>0</v>
      </c>
      <c r="O11" s="2492">
        <v>0</v>
      </c>
    </row>
    <row r="12" spans="1:15">
      <c r="A12" s="2487" t="s">
        <v>1562</v>
      </c>
      <c r="B12" s="2488">
        <v>2624.3063939435792</v>
      </c>
      <c r="C12" s="2488">
        <v>1681.8218208986746</v>
      </c>
      <c r="D12" s="2489">
        <v>4175.9474639435784</v>
      </c>
      <c r="E12" s="2488">
        <v>1861.6916273799745</v>
      </c>
      <c r="F12" s="2488">
        <v>4171.9771038341914</v>
      </c>
      <c r="G12" s="2489"/>
      <c r="H12" s="2490">
        <v>151.49820969447967</v>
      </c>
      <c r="I12" s="2491">
        <v>94.040985382606493</v>
      </c>
      <c r="J12" s="2491">
        <v>9.0674749229138456</v>
      </c>
      <c r="K12" s="2492">
        <v>254.60667000000001</v>
      </c>
      <c r="L12" s="2490">
        <v>1784.6606307141669</v>
      </c>
      <c r="M12" s="2491">
        <v>1107.8100831974368</v>
      </c>
      <c r="N12" s="2491">
        <v>106.81555608839631</v>
      </c>
      <c r="O12" s="2492">
        <v>2999.2862700000001</v>
      </c>
    </row>
    <row r="13" spans="1:15">
      <c r="A13" s="2487" t="s">
        <v>663</v>
      </c>
      <c r="B13" s="2488">
        <v>19763.004109441321</v>
      </c>
      <c r="C13" s="2488">
        <v>13028.648588787426</v>
      </c>
      <c r="D13" s="2489">
        <v>15109.337720058469</v>
      </c>
      <c r="E13" s="2488">
        <v>7969.1434222189691</v>
      </c>
      <c r="F13" s="2488">
        <v>2554.9503067636069</v>
      </c>
      <c r="G13" s="2489"/>
      <c r="H13" s="2490">
        <v>423.14678587793838</v>
      </c>
      <c r="I13" s="2491">
        <v>262.66409870910911</v>
      </c>
      <c r="J13" s="2491">
        <v>25.326192813746562</v>
      </c>
      <c r="K13" s="2492">
        <v>711.13707740079406</v>
      </c>
      <c r="L13" s="2490">
        <v>3232.6010207165859</v>
      </c>
      <c r="M13" s="2491">
        <v>2006.6044737430611</v>
      </c>
      <c r="N13" s="2491">
        <v>193.47772326976485</v>
      </c>
      <c r="O13" s="2492">
        <v>5432.6832177294118</v>
      </c>
    </row>
    <row r="14" spans="1:15">
      <c r="A14" s="2487" t="s">
        <v>1591</v>
      </c>
      <c r="B14" s="2488">
        <v>33226.919728067609</v>
      </c>
      <c r="C14" s="2488">
        <v>21526.842204470249</v>
      </c>
      <c r="D14" s="2489">
        <v>58069.981874067591</v>
      </c>
      <c r="E14" s="2488">
        <v>56476.770410649093</v>
      </c>
      <c r="F14" s="2488">
        <v>13557.430412745434</v>
      </c>
      <c r="G14" s="2489"/>
      <c r="H14" s="2490">
        <v>45391.245385265313</v>
      </c>
      <c r="I14" s="2491">
        <v>28176.157674618258</v>
      </c>
      <c r="J14" s="2491">
        <v>2716.7580401164269</v>
      </c>
      <c r="K14" s="2492">
        <v>76284.161099999998</v>
      </c>
      <c r="L14" s="2490">
        <v>34509.322465988102</v>
      </c>
      <c r="M14" s="2491">
        <v>21421.313797254024</v>
      </c>
      <c r="N14" s="2491">
        <v>2065.4528967578717</v>
      </c>
      <c r="O14" s="2492">
        <v>57996.089159999996</v>
      </c>
    </row>
    <row r="15" spans="1:15">
      <c r="A15" s="2487" t="s">
        <v>1560</v>
      </c>
      <c r="B15" s="2488">
        <v>10007.556983565144</v>
      </c>
      <c r="C15" s="2488">
        <v>6472.1045245019013</v>
      </c>
      <c r="D15" s="2489">
        <v>18177.648763565143</v>
      </c>
      <c r="E15" s="2488">
        <v>17091.272628656254</v>
      </c>
      <c r="F15" s="2488">
        <v>4049.4336297115569</v>
      </c>
      <c r="G15" s="2489"/>
      <c r="H15" s="2490">
        <v>13470.874007749479</v>
      </c>
      <c r="I15" s="2491">
        <v>8361.9091486852267</v>
      </c>
      <c r="J15" s="2491">
        <v>806.2591135652948</v>
      </c>
      <c r="K15" s="2492">
        <v>22639.042269999998</v>
      </c>
      <c r="L15" s="2490">
        <v>10430.454063364346</v>
      </c>
      <c r="M15" s="2491">
        <v>6474.5991393886216</v>
      </c>
      <c r="N15" s="2491">
        <v>624.28381724703172</v>
      </c>
      <c r="O15" s="2492">
        <v>17529.337019999999</v>
      </c>
    </row>
    <row r="16" spans="1:15">
      <c r="A16" s="2487" t="s">
        <v>1561</v>
      </c>
      <c r="B16" s="2488">
        <v>12248.028890000001</v>
      </c>
      <c r="C16" s="2488">
        <v>0</v>
      </c>
      <c r="D16" s="2489">
        <v>0</v>
      </c>
      <c r="E16" s="2488"/>
      <c r="F16" s="2488"/>
      <c r="G16" s="2489"/>
      <c r="H16" s="2490">
        <v>0</v>
      </c>
      <c r="I16" s="2491">
        <v>0</v>
      </c>
      <c r="J16" s="2491">
        <v>0</v>
      </c>
      <c r="K16" s="2492">
        <v>0</v>
      </c>
      <c r="L16" s="2490">
        <v>0</v>
      </c>
      <c r="M16" s="2491">
        <v>0</v>
      </c>
      <c r="N16" s="2491">
        <v>0</v>
      </c>
      <c r="O16" s="2492">
        <v>0</v>
      </c>
    </row>
    <row r="17" spans="1:15" ht="31.5">
      <c r="A17" s="2487" t="s">
        <v>1592</v>
      </c>
      <c r="B17" s="2488"/>
      <c r="C17" s="2488"/>
      <c r="D17" s="2489"/>
      <c r="E17" s="2488">
        <v>921.12344999999993</v>
      </c>
      <c r="F17" s="2488"/>
      <c r="G17" s="2489"/>
      <c r="H17" s="2490">
        <v>0</v>
      </c>
      <c r="I17" s="2491">
        <v>0</v>
      </c>
      <c r="J17" s="2491">
        <v>0</v>
      </c>
      <c r="K17" s="2492">
        <v>0</v>
      </c>
      <c r="L17" s="2490">
        <v>0</v>
      </c>
      <c r="M17" s="2491">
        <v>0</v>
      </c>
      <c r="N17" s="2491">
        <v>0</v>
      </c>
      <c r="O17" s="2492">
        <v>0</v>
      </c>
    </row>
    <row r="18" spans="1:15" ht="30" customHeight="1">
      <c r="A18" s="2487" t="s">
        <v>1593</v>
      </c>
      <c r="B18" s="2488"/>
      <c r="C18" s="2488"/>
      <c r="D18" s="2489"/>
      <c r="E18" s="2488"/>
      <c r="F18" s="2488">
        <v>1153.72435</v>
      </c>
      <c r="G18" s="2489"/>
      <c r="H18" s="2490">
        <v>0</v>
      </c>
      <c r="I18" s="2491">
        <v>0</v>
      </c>
      <c r="J18" s="2491">
        <v>0</v>
      </c>
      <c r="K18" s="2492">
        <v>0</v>
      </c>
      <c r="L18" s="2490">
        <v>0</v>
      </c>
      <c r="M18" s="2491">
        <v>0</v>
      </c>
      <c r="N18" s="2491">
        <v>0</v>
      </c>
      <c r="O18" s="2492">
        <v>0</v>
      </c>
    </row>
    <row r="19" spans="1:15" ht="31.5">
      <c r="A19" s="2487" t="s">
        <v>1594</v>
      </c>
      <c r="B19" s="2488"/>
      <c r="C19" s="2488"/>
      <c r="D19" s="2489"/>
      <c r="E19" s="2488"/>
      <c r="F19" s="2488"/>
      <c r="G19" s="2489">
        <v>0</v>
      </c>
      <c r="H19" s="2490">
        <v>0</v>
      </c>
      <c r="I19" s="2491">
        <v>0</v>
      </c>
      <c r="J19" s="2491">
        <v>0</v>
      </c>
      <c r="K19" s="2492">
        <v>0</v>
      </c>
      <c r="L19" s="2490">
        <v>0</v>
      </c>
      <c r="M19" s="2491">
        <v>0</v>
      </c>
      <c r="N19" s="2491">
        <v>0</v>
      </c>
      <c r="O19" s="2492">
        <v>0</v>
      </c>
    </row>
    <row r="20" spans="1:15">
      <c r="A20" s="2487" t="s">
        <v>391</v>
      </c>
      <c r="B20" s="2488">
        <v>21009.498940273188</v>
      </c>
      <c r="C20" s="2488">
        <v>13611.498513363658</v>
      </c>
      <c r="D20" s="2488">
        <v>36717.855059381989</v>
      </c>
      <c r="E20" s="2488">
        <v>35710.46181239235</v>
      </c>
      <c r="F20" s="2488">
        <v>8572.4112322333531</v>
      </c>
      <c r="G20" s="2488">
        <v>0</v>
      </c>
      <c r="H20" s="2490"/>
      <c r="I20" s="2491"/>
      <c r="J20" s="2491"/>
      <c r="K20" s="2492"/>
      <c r="L20" s="2490">
        <v>0</v>
      </c>
      <c r="M20" s="2491">
        <v>0</v>
      </c>
      <c r="N20" s="2491">
        <v>0</v>
      </c>
      <c r="O20" s="2492"/>
    </row>
    <row r="21" spans="1:15">
      <c r="A21" s="2487" t="s">
        <v>964</v>
      </c>
      <c r="B21" s="2488">
        <v>23207.25010304006</v>
      </c>
      <c r="C21" s="2488">
        <v>15440.733795998043</v>
      </c>
      <c r="D21" s="2489">
        <v>10559.347021040057</v>
      </c>
      <c r="E21" s="2488">
        <v>7246.1085374415734</v>
      </c>
      <c r="F21" s="2488">
        <v>6406.2640424802667</v>
      </c>
      <c r="G21" s="2489"/>
      <c r="H21" s="2490">
        <v>42669.043485105547</v>
      </c>
      <c r="I21" s="2491">
        <v>26486.3783061512</v>
      </c>
      <c r="J21" s="2491">
        <v>2553.8287387432601</v>
      </c>
      <c r="K21" s="2492">
        <v>71709.250530000005</v>
      </c>
      <c r="L21" s="2490">
        <v>14141.135219763857</v>
      </c>
      <c r="M21" s="2491">
        <v>8777.9670345750092</v>
      </c>
      <c r="N21" s="2491">
        <v>846.37560566113291</v>
      </c>
      <c r="O21" s="2492">
        <v>23765.477859999999</v>
      </c>
    </row>
    <row r="22" spans="1:15" ht="15.75" thickBot="1">
      <c r="A22" s="2487" t="s">
        <v>1564</v>
      </c>
      <c r="B22" s="2488">
        <v>30549.922320969141</v>
      </c>
      <c r="C22" s="2488">
        <v>19792.486409951463</v>
      </c>
      <c r="D22" s="2488">
        <v>53391.450364695731</v>
      </c>
      <c r="E22" s="2488">
        <v>51926.599368977411</v>
      </c>
      <c r="F22" s="2488">
        <v>12465.147217105738</v>
      </c>
      <c r="G22" s="2488">
        <v>0</v>
      </c>
      <c r="H22" s="2490"/>
      <c r="I22" s="2491"/>
      <c r="J22" s="2491"/>
      <c r="K22" s="2492"/>
      <c r="L22" s="2493"/>
      <c r="M22" s="2494"/>
      <c r="N22" s="2494"/>
      <c r="O22" s="2492"/>
    </row>
    <row r="23" spans="1:15" ht="15.75" thickBot="1">
      <c r="A23" s="2495" t="s">
        <v>157</v>
      </c>
      <c r="B23" s="2496">
        <v>0</v>
      </c>
      <c r="C23" s="2496"/>
      <c r="D23" s="2497">
        <v>638737.65199124813</v>
      </c>
      <c r="E23" s="2498"/>
      <c r="F23" s="2496"/>
      <c r="G23" s="2497">
        <v>283992.67171536578</v>
      </c>
      <c r="H23" s="2499"/>
      <c r="I23" s="2500"/>
      <c r="J23" s="2501">
        <v>0</v>
      </c>
      <c r="K23" s="2502">
        <v>174334.28740740079</v>
      </c>
      <c r="L23" s="2503"/>
      <c r="M23" s="2504"/>
      <c r="N23" s="2501">
        <v>0</v>
      </c>
      <c r="O23" s="2502">
        <v>119891.50047772941</v>
      </c>
    </row>
    <row r="24" spans="1:15">
      <c r="E24" s="2505"/>
      <c r="F24" s="2506" t="s">
        <v>1595</v>
      </c>
      <c r="G24" s="2507">
        <v>922730.32370661385</v>
      </c>
      <c r="I24" s="2508"/>
    </row>
    <row r="26" spans="1:15">
      <c r="A26" s="2487" t="s">
        <v>1596</v>
      </c>
      <c r="B26" s="2487"/>
      <c r="C26" s="2487"/>
      <c r="D26" s="2487">
        <f>D8+D9+D10+D11+D12+D13+D14+D15+D16+D20+D21+D22</f>
        <v>229364.2366606181</v>
      </c>
      <c r="E26" s="2487">
        <f>SUM(E8:E22)</f>
        <v>224867.10877768087</v>
      </c>
      <c r="F26" s="2487"/>
      <c r="G26" s="2487"/>
      <c r="H26" s="2487"/>
      <c r="I26" s="2487"/>
      <c r="J26" s="2487"/>
      <c r="K26" s="2487"/>
      <c r="L26" s="2487"/>
      <c r="M26" s="2487"/>
      <c r="N26" s="2487"/>
      <c r="O26" s="2487"/>
    </row>
    <row r="27" spans="1:15" ht="21">
      <c r="A27" s="2487" t="s">
        <v>1597</v>
      </c>
      <c r="B27" s="2487"/>
      <c r="C27" s="2487"/>
      <c r="D27" s="2487"/>
      <c r="E27" s="2487"/>
      <c r="F27" s="2487"/>
      <c r="G27" s="2487"/>
      <c r="H27" s="2487"/>
      <c r="I27" s="2487"/>
      <c r="J27" s="2487"/>
      <c r="K27" s="2487"/>
      <c r="L27" s="2487"/>
      <c r="M27" s="2487"/>
      <c r="N27" s="2487"/>
      <c r="O27" s="2487"/>
    </row>
    <row r="28" spans="1:15">
      <c r="A28" s="2487" t="s">
        <v>1598</v>
      </c>
      <c r="B28" s="2487"/>
      <c r="C28" s="2487"/>
      <c r="D28" s="2487"/>
      <c r="E28" s="2487"/>
      <c r="F28" s="2487"/>
      <c r="G28" s="2487"/>
      <c r="H28" s="2487"/>
      <c r="I28" s="2487"/>
      <c r="J28" s="2487"/>
      <c r="K28" s="2487"/>
      <c r="L28" s="2487"/>
      <c r="M28" s="2487"/>
      <c r="N28" s="2487"/>
      <c r="O28" s="2487"/>
    </row>
    <row r="29" spans="1:15">
      <c r="A29" s="1992" t="s">
        <v>1599</v>
      </c>
      <c r="B29" s="1992"/>
      <c r="C29" s="1992"/>
      <c r="D29" s="2509">
        <f>D26/D23</f>
        <v>0.35908989542980757</v>
      </c>
      <c r="E29" s="2509">
        <f>E26/G23</f>
        <v>0.79180602590709093</v>
      </c>
    </row>
    <row r="30" spans="1:15">
      <c r="A30" s="704" t="s">
        <v>1600</v>
      </c>
      <c r="B30" s="704"/>
      <c r="C30" s="704"/>
      <c r="D30" s="2510">
        <f>D20/(B20+C20+D20)</f>
        <v>0.51469646295027305</v>
      </c>
      <c r="E30" s="2510">
        <f>E20/G23</f>
        <v>0.12574430740305681</v>
      </c>
    </row>
    <row r="31" spans="1:15">
      <c r="A31" s="704" t="s">
        <v>1601</v>
      </c>
      <c r="B31" s="704"/>
      <c r="C31" s="704"/>
      <c r="D31" s="2510">
        <f>D21/(B21+C21+D21)</f>
        <v>0.21458890014153373</v>
      </c>
      <c r="E31" s="2510">
        <f>E21/G23</f>
        <v>2.5515125068804771E-2</v>
      </c>
    </row>
    <row r="32" spans="1:15">
      <c r="A32" s="704" t="s">
        <v>1602</v>
      </c>
      <c r="B32" s="704"/>
      <c r="C32" s="704"/>
      <c r="D32" s="2510">
        <f>D22/(B22+C22+D22)</f>
        <v>0.51469646295027294</v>
      </c>
      <c r="E32" s="2510">
        <f>E22/G23</f>
        <v>0.18284485671877235</v>
      </c>
    </row>
    <row r="34" spans="1:12">
      <c r="A34" s="658" t="s">
        <v>1603</v>
      </c>
    </row>
    <row r="36" spans="1:12">
      <c r="A36" s="658" t="s">
        <v>1604</v>
      </c>
      <c r="B36" s="658" t="s">
        <v>1605</v>
      </c>
      <c r="C36" s="658" t="s">
        <v>1606</v>
      </c>
      <c r="D36" s="658" t="s">
        <v>1607</v>
      </c>
      <c r="E36" s="2511" t="s">
        <v>1608</v>
      </c>
      <c r="G36" s="2511" t="s">
        <v>1609</v>
      </c>
      <c r="L36" s="2511" t="s">
        <v>1610</v>
      </c>
    </row>
    <row r="37" spans="1:12">
      <c r="G37" s="658" t="s">
        <v>1611</v>
      </c>
    </row>
    <row r="39" spans="1:12">
      <c r="G39" s="658" t="s">
        <v>1612</v>
      </c>
      <c r="H39" s="658" t="s">
        <v>1613</v>
      </c>
    </row>
    <row r="41" spans="1:12">
      <c r="A41" s="658" t="s">
        <v>1604</v>
      </c>
      <c r="C41" s="658">
        <v>0.75</v>
      </c>
    </row>
    <row r="43" spans="1:12">
      <c r="A43" s="2512" t="s">
        <v>1614</v>
      </c>
      <c r="B43" s="2512" t="s">
        <v>1615</v>
      </c>
      <c r="C43" s="2512" t="s">
        <v>1616</v>
      </c>
      <c r="D43" s="704"/>
      <c r="E43" s="704"/>
    </row>
    <row r="44" spans="1:12" ht="75">
      <c r="A44" s="2513" t="s">
        <v>1617</v>
      </c>
      <c r="B44" s="2514" t="s">
        <v>1618</v>
      </c>
      <c r="C44" s="2510">
        <f>'[12]опер. расходы всего'!B22</f>
        <v>0.31037228677657347</v>
      </c>
      <c r="D44" s="704"/>
      <c r="E44" s="704"/>
    </row>
    <row r="45" spans="1:12" ht="90">
      <c r="A45" s="2515" t="s">
        <v>1619</v>
      </c>
      <c r="B45" s="2514" t="s">
        <v>1620</v>
      </c>
      <c r="C45" s="1452">
        <v>-1E-3</v>
      </c>
      <c r="D45" s="704"/>
      <c r="E45" s="704"/>
    </row>
    <row r="46" spans="1:12" ht="150">
      <c r="A46" s="2516" t="s">
        <v>1609</v>
      </c>
      <c r="B46" s="2517" t="s">
        <v>1621</v>
      </c>
      <c r="C46" s="2518">
        <v>1</v>
      </c>
      <c r="D46" s="2518"/>
      <c r="E46" s="2518"/>
    </row>
    <row r="47" spans="1:12" ht="45">
      <c r="A47" s="2519" t="s">
        <v>1622</v>
      </c>
      <c r="B47" s="2520">
        <f>B48+B49+B50+B51</f>
        <v>2633.6</v>
      </c>
      <c r="C47" s="704"/>
      <c r="D47" s="704"/>
      <c r="E47" s="704"/>
    </row>
    <row r="48" spans="1:12">
      <c r="A48" s="2521" t="s">
        <v>1623</v>
      </c>
      <c r="B48" s="2522">
        <v>896</v>
      </c>
      <c r="C48" s="704"/>
      <c r="D48" s="704"/>
      <c r="E48" s="704"/>
    </row>
    <row r="49" spans="1:6">
      <c r="A49" s="2521" t="s">
        <v>1624</v>
      </c>
      <c r="B49" s="2514">
        <v>1737.6</v>
      </c>
      <c r="C49" s="704"/>
      <c r="D49" s="704"/>
      <c r="E49" s="704"/>
    </row>
    <row r="50" spans="1:6">
      <c r="A50" s="2521" t="s">
        <v>1625</v>
      </c>
      <c r="B50" s="2514"/>
      <c r="C50" s="704"/>
      <c r="D50" s="704"/>
      <c r="E50" s="704"/>
    </row>
    <row r="51" spans="1:6">
      <c r="A51" s="2521" t="s">
        <v>1626</v>
      </c>
      <c r="B51" s="2514"/>
      <c r="C51" s="704"/>
      <c r="D51" s="704"/>
      <c r="E51" s="704"/>
    </row>
    <row r="52" spans="1:6" ht="30">
      <c r="A52" s="2515" t="s">
        <v>1627</v>
      </c>
      <c r="B52" s="2514" t="s">
        <v>1628</v>
      </c>
      <c r="C52" s="2523">
        <v>521509</v>
      </c>
      <c r="D52" s="704"/>
      <c r="E52" s="704"/>
    </row>
    <row r="56" spans="1:6">
      <c r="A56" s="658" t="s">
        <v>1604</v>
      </c>
      <c r="B56" s="658" t="s">
        <v>1605</v>
      </c>
      <c r="C56" s="658" t="s">
        <v>1629</v>
      </c>
      <c r="D56" s="2524">
        <f>C44</f>
        <v>0.31037228677657347</v>
      </c>
      <c r="E56" s="658" t="s">
        <v>1630</v>
      </c>
      <c r="F56" s="658">
        <v>0.1</v>
      </c>
    </row>
    <row r="58" spans="1:6">
      <c r="A58" s="658" t="s">
        <v>1604</v>
      </c>
    </row>
    <row r="59" spans="1:6">
      <c r="B59" s="658">
        <f>0.75*33*0.1</f>
        <v>2.4750000000000001</v>
      </c>
      <c r="C59" s="658" t="s">
        <v>1631</v>
      </c>
      <c r="D59" s="658">
        <v>0</v>
      </c>
      <c r="E59" s="658" t="s">
        <v>1632</v>
      </c>
    </row>
    <row r="61" spans="1:6">
      <c r="A61" s="2525" t="s">
        <v>1633</v>
      </c>
      <c r="B61" s="2525" t="s">
        <v>1605</v>
      </c>
      <c r="C61" s="2525">
        <v>2.4750000000000001</v>
      </c>
    </row>
    <row r="62" spans="1:6">
      <c r="A62" s="2526" t="s">
        <v>1634</v>
      </c>
      <c r="B62" s="2526"/>
      <c r="C62" s="2526"/>
    </row>
    <row r="68" spans="1:12">
      <c r="A68" s="658" t="s">
        <v>1635</v>
      </c>
    </row>
    <row r="70" spans="1:12">
      <c r="A70" s="658" t="s">
        <v>1604</v>
      </c>
      <c r="B70" s="658" t="s">
        <v>1605</v>
      </c>
      <c r="C70" s="658" t="s">
        <v>1606</v>
      </c>
      <c r="D70" s="658" t="s">
        <v>1607</v>
      </c>
      <c r="E70" s="2511" t="s">
        <v>1608</v>
      </c>
      <c r="G70" s="2511" t="s">
        <v>1609</v>
      </c>
      <c r="L70" s="2511" t="s">
        <v>1610</v>
      </c>
    </row>
    <row r="71" spans="1:12">
      <c r="G71" s="658" t="s">
        <v>1611</v>
      </c>
    </row>
    <row r="73" spans="1:12">
      <c r="G73" s="658" t="s">
        <v>1612</v>
      </c>
      <c r="H73" s="658" t="s">
        <v>1613</v>
      </c>
    </row>
    <row r="75" spans="1:12">
      <c r="A75" s="658" t="s">
        <v>1604</v>
      </c>
      <c r="C75" s="658">
        <v>0.75</v>
      </c>
    </row>
    <row r="77" spans="1:12">
      <c r="A77" s="2512" t="s">
        <v>1614</v>
      </c>
      <c r="B77" s="2512" t="s">
        <v>1615</v>
      </c>
      <c r="C77" s="2512" t="s">
        <v>1616</v>
      </c>
      <c r="D77" s="704"/>
      <c r="E77" s="704"/>
    </row>
    <row r="78" spans="1:12" ht="75">
      <c r="A78" s="2513" t="s">
        <v>1617</v>
      </c>
      <c r="B78" s="2514" t="s">
        <v>1618</v>
      </c>
      <c r="C78" s="2510">
        <f>'[12]опер. расходы всего'!B38</f>
        <v>0.31001202851726023</v>
      </c>
      <c r="D78" s="704"/>
      <c r="E78" s="704"/>
      <c r="F78" s="658" t="s">
        <v>1636</v>
      </c>
    </row>
    <row r="79" spans="1:12" ht="90">
      <c r="A79" s="2515" t="s">
        <v>1619</v>
      </c>
      <c r="B79" s="2514" t="s">
        <v>1620</v>
      </c>
      <c r="C79" s="1452">
        <v>1.4E-3</v>
      </c>
      <c r="D79" s="704"/>
      <c r="E79" s="704"/>
    </row>
    <row r="80" spans="1:12" ht="150">
      <c r="A80" s="2516" t="s">
        <v>1609</v>
      </c>
      <c r="B80" s="2517" t="s">
        <v>1621</v>
      </c>
      <c r="C80" s="2518">
        <v>1</v>
      </c>
      <c r="D80" s="2518"/>
      <c r="E80" s="2518"/>
    </row>
    <row r="81" spans="1:6" ht="75">
      <c r="A81" s="2519" t="s">
        <v>1637</v>
      </c>
      <c r="B81" s="2520">
        <f>B82+B83+B84+B85</f>
        <v>0</v>
      </c>
      <c r="C81" s="704"/>
      <c r="D81" s="704"/>
      <c r="E81" s="704"/>
    </row>
    <row r="82" spans="1:6">
      <c r="A82" s="2521" t="s">
        <v>1623</v>
      </c>
      <c r="B82" s="2522">
        <v>0</v>
      </c>
      <c r="C82" s="704"/>
      <c r="D82" s="704"/>
      <c r="E82" s="704"/>
    </row>
    <row r="83" spans="1:6">
      <c r="A83" s="2521" t="s">
        <v>1624</v>
      </c>
      <c r="B83" s="2514">
        <v>0</v>
      </c>
      <c r="C83" s="704"/>
      <c r="D83" s="704"/>
      <c r="E83" s="704"/>
    </row>
    <row r="84" spans="1:6">
      <c r="A84" s="2521" t="s">
        <v>1625</v>
      </c>
      <c r="B84" s="2514"/>
      <c r="C84" s="704"/>
      <c r="D84" s="704"/>
      <c r="E84" s="704"/>
    </row>
    <row r="85" spans="1:6">
      <c r="A85" s="2521" t="s">
        <v>1626</v>
      </c>
      <c r="B85" s="2514"/>
      <c r="C85" s="704"/>
      <c r="D85" s="704"/>
      <c r="E85" s="704"/>
    </row>
    <row r="86" spans="1:6" ht="30">
      <c r="A86" s="2515" t="s">
        <v>1627</v>
      </c>
      <c r="B86" s="2514" t="s">
        <v>1628</v>
      </c>
      <c r="C86" s="2523">
        <v>353459.45</v>
      </c>
      <c r="D86" s="704"/>
      <c r="E86" s="704"/>
    </row>
    <row r="90" spans="1:6">
      <c r="A90" s="658" t="s">
        <v>1604</v>
      </c>
      <c r="B90" s="658" t="s">
        <v>1605</v>
      </c>
      <c r="C90" s="658" t="s">
        <v>1629</v>
      </c>
      <c r="D90" s="2524">
        <f>C78</f>
        <v>0.31001202851726023</v>
      </c>
      <c r="E90" s="658" t="s">
        <v>1630</v>
      </c>
      <c r="F90" s="658">
        <v>0.1</v>
      </c>
    </row>
    <row r="92" spans="1:6">
      <c r="A92" s="658" t="s">
        <v>1604</v>
      </c>
    </row>
    <row r="93" spans="1:6">
      <c r="B93" s="658" t="s">
        <v>1638</v>
      </c>
      <c r="C93" s="658" t="s">
        <v>1631</v>
      </c>
      <c r="D93" s="658">
        <v>0</v>
      </c>
      <c r="E93" s="658" t="s">
        <v>1632</v>
      </c>
    </row>
    <row r="95" spans="1:6">
      <c r="A95" s="2525" t="s">
        <v>1633</v>
      </c>
      <c r="B95" s="2525" t="s">
        <v>1605</v>
      </c>
      <c r="C95" s="2525">
        <f>0.75*31*0.14</f>
        <v>3.2550000000000003</v>
      </c>
    </row>
    <row r="96" spans="1:6">
      <c r="A96" s="2526" t="s">
        <v>1639</v>
      </c>
      <c r="B96" s="2526"/>
      <c r="C96" s="2526"/>
    </row>
  </sheetData>
  <mergeCells count="5">
    <mergeCell ref="E6:E7"/>
    <mergeCell ref="F6:F7"/>
    <mergeCell ref="G6:G7"/>
    <mergeCell ref="H6:J6"/>
    <mergeCell ref="M6:O6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3:L54"/>
  <sheetViews>
    <sheetView workbookViewId="0">
      <selection activeCell="E9" sqref="E9"/>
    </sheetView>
  </sheetViews>
  <sheetFormatPr defaultRowHeight="15"/>
  <cols>
    <col min="2" max="2" width="26.85546875" customWidth="1"/>
    <col min="4" max="4" width="12" customWidth="1"/>
    <col min="5" max="5" width="10.5703125" customWidth="1"/>
    <col min="6" max="6" width="20" customWidth="1"/>
    <col min="7" max="7" width="11.42578125" bestFit="1" customWidth="1"/>
    <col min="8" max="8" width="10.140625" customWidth="1"/>
    <col min="9" max="9" width="21.42578125" customWidth="1"/>
    <col min="11" max="11" width="10.85546875" customWidth="1"/>
    <col min="12" max="12" width="18" customWidth="1"/>
  </cols>
  <sheetData>
    <row r="3" spans="1:12" ht="15.75" thickBot="1">
      <c r="A3" t="s">
        <v>539</v>
      </c>
    </row>
    <row r="4" spans="1:12">
      <c r="A4" s="3572" t="s">
        <v>0</v>
      </c>
      <c r="B4" s="3566" t="s">
        <v>1</v>
      </c>
      <c r="C4" s="3566" t="s">
        <v>474</v>
      </c>
      <c r="D4" s="3566" t="s">
        <v>475</v>
      </c>
      <c r="E4" s="3566"/>
      <c r="F4" s="3566" t="s">
        <v>476</v>
      </c>
      <c r="G4" s="3568" t="s">
        <v>477</v>
      </c>
      <c r="H4" s="3569"/>
      <c r="I4" s="3566" t="s">
        <v>476</v>
      </c>
      <c r="J4" s="3568" t="s">
        <v>478</v>
      </c>
      <c r="K4" s="3569"/>
      <c r="L4" s="3570" t="s">
        <v>476</v>
      </c>
    </row>
    <row r="5" spans="1:12" ht="15.75" thickBot="1">
      <c r="A5" s="3573"/>
      <c r="B5" s="3567"/>
      <c r="C5" s="3567"/>
      <c r="D5" s="283" t="s">
        <v>479</v>
      </c>
      <c r="E5" s="283" t="s">
        <v>166</v>
      </c>
      <c r="F5" s="3567"/>
      <c r="G5" s="283" t="s">
        <v>479</v>
      </c>
      <c r="H5" s="283" t="s">
        <v>166</v>
      </c>
      <c r="I5" s="3567"/>
      <c r="J5" s="283" t="s">
        <v>479</v>
      </c>
      <c r="K5" s="283" t="s">
        <v>166</v>
      </c>
      <c r="L5" s="3571"/>
    </row>
    <row r="6" spans="1:12" ht="102" thickBot="1">
      <c r="A6" s="284" t="s">
        <v>147</v>
      </c>
      <c r="B6" s="285" t="s">
        <v>480</v>
      </c>
      <c r="C6" s="286" t="s">
        <v>481</v>
      </c>
      <c r="D6" s="815">
        <f>'Смета ВС_2016'!J106</f>
        <v>35490.811999999998</v>
      </c>
      <c r="E6" s="815">
        <f>'Смета ВС_2016'!M106</f>
        <v>40762.129321767512</v>
      </c>
      <c r="F6" s="287" t="s">
        <v>482</v>
      </c>
      <c r="G6" s="815"/>
      <c r="H6" s="815">
        <f>'Смета ВС_2016'!N106</f>
        <v>0</v>
      </c>
      <c r="I6" s="287" t="s">
        <v>482</v>
      </c>
      <c r="J6" s="286"/>
      <c r="K6" s="286">
        <f>'Смета ВС_2016'!O106</f>
        <v>0</v>
      </c>
      <c r="L6" s="289" t="s">
        <v>482</v>
      </c>
    </row>
    <row r="7" spans="1:12" ht="16.5" thickTop="1" thickBot="1">
      <c r="A7" s="284"/>
      <c r="B7" s="285"/>
      <c r="C7" s="286"/>
      <c r="D7" s="286"/>
      <c r="E7" s="286"/>
      <c r="F7" s="287"/>
      <c r="G7" s="815"/>
      <c r="H7" s="815"/>
      <c r="I7" s="287"/>
      <c r="J7" s="286"/>
      <c r="K7" s="286"/>
      <c r="L7" s="289"/>
    </row>
    <row r="8" spans="1:12" ht="33" thickTop="1" thickBot="1">
      <c r="A8" s="290"/>
      <c r="B8" s="291" t="s">
        <v>483</v>
      </c>
      <c r="C8" s="292" t="s">
        <v>11</v>
      </c>
      <c r="D8" s="816">
        <f>SUM(D9:D15)</f>
        <v>629146.59926042031</v>
      </c>
      <c r="E8" s="816">
        <f>SUM(E9:E15)</f>
        <v>501777.64527548233</v>
      </c>
      <c r="F8" s="294"/>
      <c r="G8" s="816">
        <f>SUM(G9:G15)</f>
        <v>562123.57281152951</v>
      </c>
      <c r="H8" s="816">
        <f>SUM(H9:H15)</f>
        <v>0</v>
      </c>
      <c r="I8" s="292"/>
      <c r="J8" s="293">
        <f>SUM(J9:J15)</f>
        <v>582390.77443436801</v>
      </c>
      <c r="K8" s="293">
        <f>SUM(K9:K15)</f>
        <v>0</v>
      </c>
      <c r="L8" s="292"/>
    </row>
    <row r="9" spans="1:12" ht="34.5" thickTop="1">
      <c r="A9" s="295"/>
      <c r="B9" s="296" t="s">
        <v>484</v>
      </c>
      <c r="C9" s="295" t="s">
        <v>11</v>
      </c>
      <c r="D9" s="817">
        <f>'Смета ВС_2016'!J11</f>
        <v>162700.66830793064</v>
      </c>
      <c r="E9" s="817">
        <f>'Смета ВС_2016'!M11</f>
        <v>109769.91409646446</v>
      </c>
      <c r="F9" s="297" t="s">
        <v>485</v>
      </c>
      <c r="G9" s="818">
        <f>'Смета ВС_2016'!K11</f>
        <v>167741.87364907598</v>
      </c>
      <c r="H9" s="818">
        <f>'Смета ВС_2016'!N11</f>
        <v>0</v>
      </c>
      <c r="I9" s="298" t="s">
        <v>486</v>
      </c>
      <c r="J9" s="302">
        <f>'Смета ВС_2016'!L11</f>
        <v>176031.04993927525</v>
      </c>
      <c r="K9" s="302">
        <f>'Смета ВС_2016'!O11</f>
        <v>0</v>
      </c>
      <c r="L9" s="297" t="s">
        <v>487</v>
      </c>
    </row>
    <row r="10" spans="1:12" ht="33.75">
      <c r="A10" s="299"/>
      <c r="B10" s="300" t="s">
        <v>19</v>
      </c>
      <c r="C10" s="295" t="s">
        <v>11</v>
      </c>
      <c r="D10" s="818">
        <f>'Смета ВС_2016'!J15</f>
        <v>118675.34319160001</v>
      </c>
      <c r="E10" s="818">
        <f>'Смета ВС_2016'!M15</f>
        <v>115557.86320357147</v>
      </c>
      <c r="F10" s="303" t="s">
        <v>488</v>
      </c>
      <c r="G10" s="818">
        <f>'Смета ВС_2016'!K15</f>
        <v>124710.29588484119</v>
      </c>
      <c r="H10" s="818">
        <f>'Смета ВС_2016'!N15</f>
        <v>0</v>
      </c>
      <c r="I10" s="304"/>
      <c r="J10" s="302">
        <f>'Смета ВС_2016'!L15</f>
        <v>131201.76621657965</v>
      </c>
      <c r="K10" s="302">
        <f>'Смета ВС_2016'!O15</f>
        <v>0</v>
      </c>
      <c r="L10" s="305"/>
    </row>
    <row r="11" spans="1:12" ht="78.75">
      <c r="A11" s="299"/>
      <c r="B11" s="300" t="s">
        <v>31</v>
      </c>
      <c r="C11" s="295" t="s">
        <v>11</v>
      </c>
      <c r="D11" s="818">
        <f>'Смета ВС_2016'!J21</f>
        <v>-8426.7199999999993</v>
      </c>
      <c r="E11" s="818">
        <f>'Смета ВС_2016'!M21</f>
        <v>7520.625</v>
      </c>
      <c r="F11" s="301" t="s">
        <v>489</v>
      </c>
      <c r="G11" s="818">
        <f>'Смета ВС_2016'!K21</f>
        <v>0</v>
      </c>
      <c r="H11" s="818">
        <f>'Смета ВС_2016'!N21</f>
        <v>0</v>
      </c>
      <c r="I11" s="301" t="s">
        <v>490</v>
      </c>
      <c r="J11" s="302">
        <f>'Смета ВС_2016'!L21</f>
        <v>0</v>
      </c>
      <c r="K11" s="302">
        <f>'Смета ВС_2016'!O21</f>
        <v>0</v>
      </c>
      <c r="L11" s="301" t="s">
        <v>490</v>
      </c>
    </row>
    <row r="12" spans="1:12" ht="56.25">
      <c r="A12" s="299"/>
      <c r="B12" s="300" t="s">
        <v>34</v>
      </c>
      <c r="C12" s="295" t="s">
        <v>11</v>
      </c>
      <c r="D12" s="818">
        <f>'Смета ВС_2016'!J22</f>
        <v>214820.0702042976</v>
      </c>
      <c r="E12" s="818">
        <f>'Смета ВС_2016'!M22</f>
        <v>214820.0702042976</v>
      </c>
      <c r="F12" s="303" t="s">
        <v>491</v>
      </c>
      <c r="G12" s="818">
        <f>'Смета ВС_2016'!K22</f>
        <v>220274.52633509354</v>
      </c>
      <c r="H12" s="818">
        <f>'Смета ВС_2016'!N22</f>
        <v>0</v>
      </c>
      <c r="I12" s="306" t="s">
        <v>492</v>
      </c>
      <c r="J12" s="302">
        <f>'Смета ВС_2016'!L22</f>
        <v>229746.33096750252</v>
      </c>
      <c r="K12" s="302">
        <f>'Смета ВС_2016'!O22</f>
        <v>0</v>
      </c>
      <c r="L12" s="306" t="s">
        <v>493</v>
      </c>
    </row>
    <row r="13" spans="1:12" ht="22.5">
      <c r="A13" s="299"/>
      <c r="B13" s="300" t="s">
        <v>39</v>
      </c>
      <c r="C13" s="295" t="s">
        <v>11</v>
      </c>
      <c r="D13" s="818">
        <f>'Смета ВС_2016'!J25</f>
        <v>24529.93735</v>
      </c>
      <c r="E13" s="818">
        <f>'Смета ВС_2016'!M25</f>
        <v>22829.93735</v>
      </c>
      <c r="F13" s="301" t="s">
        <v>490</v>
      </c>
      <c r="G13" s="818">
        <f>'Смета ВС_2016'!K25</f>
        <v>11084.6847375</v>
      </c>
      <c r="H13" s="818">
        <f>'Смета ВС_2016'!N25</f>
        <v>0</v>
      </c>
      <c r="I13" s="301" t="s">
        <v>490</v>
      </c>
      <c r="J13" s="302">
        <f>'Смета ВС_2016'!L25</f>
        <v>5542.3423687499999</v>
      </c>
      <c r="K13" s="302">
        <f>'Смета ВС_2016'!O25</f>
        <v>0</v>
      </c>
      <c r="L13" s="301" t="s">
        <v>490</v>
      </c>
    </row>
    <row r="14" spans="1:12">
      <c r="A14" s="299"/>
      <c r="B14" s="300" t="s">
        <v>391</v>
      </c>
      <c r="C14" s="295" t="s">
        <v>11</v>
      </c>
      <c r="D14" s="818">
        <f>'Смета ВС_2016'!J32</f>
        <v>106026.188156</v>
      </c>
      <c r="E14" s="818">
        <f>'Смета ВС_2016'!M26</f>
        <v>14929.50682114878</v>
      </c>
      <c r="F14" s="301" t="s">
        <v>490</v>
      </c>
      <c r="G14" s="818">
        <f>'Смета ВС_2016'!K26</f>
        <v>27313.396548131317</v>
      </c>
      <c r="H14" s="818">
        <f>'Смета ВС_2016'!N26</f>
        <v>0</v>
      </c>
      <c r="I14" s="301" t="s">
        <v>490</v>
      </c>
      <c r="J14" s="302">
        <f>'Смета ВС_2016'!L26</f>
        <v>28427.743100161963</v>
      </c>
      <c r="K14" s="302">
        <f>'Смета ВС_2016'!O26</f>
        <v>0</v>
      </c>
      <c r="L14" s="60"/>
    </row>
    <row r="15" spans="1:12" ht="45.75" thickBot="1">
      <c r="A15" s="307"/>
      <c r="B15" s="308" t="s">
        <v>43</v>
      </c>
      <c r="C15" s="295" t="s">
        <v>11</v>
      </c>
      <c r="D15" s="819">
        <f>'Смета ВС_2016'!J27</f>
        <v>10821.112050592001</v>
      </c>
      <c r="E15" s="819">
        <f>'Смета ВС_2016'!M27</f>
        <v>16349.728599999999</v>
      </c>
      <c r="F15" s="287" t="s">
        <v>494</v>
      </c>
      <c r="G15" s="818">
        <f>'Смета ВС_2016'!K27</f>
        <v>10998.795656887454</v>
      </c>
      <c r="H15" s="818">
        <f>'Смета ВС_2016'!N27</f>
        <v>0</v>
      </c>
      <c r="I15" s="306" t="s">
        <v>495</v>
      </c>
      <c r="J15" s="302">
        <f>'Смета ВС_2016'!L27</f>
        <v>11441.541842098617</v>
      </c>
      <c r="K15" s="302">
        <f>'Смета ВС_2016'!O27</f>
        <v>0</v>
      </c>
      <c r="L15" s="306" t="s">
        <v>496</v>
      </c>
    </row>
    <row r="16" spans="1:12" ht="16.5" thickTop="1" thickBot="1">
      <c r="A16" s="292"/>
      <c r="B16" s="292" t="s">
        <v>497</v>
      </c>
      <c r="C16" s="292" t="s">
        <v>11</v>
      </c>
      <c r="D16" s="816">
        <f>SUM(D17:D19)</f>
        <v>106026.188156</v>
      </c>
      <c r="E16" s="816">
        <f>SUM(E17:E19)</f>
        <v>94093.848635999995</v>
      </c>
      <c r="F16" s="292"/>
      <c r="G16" s="816">
        <f>SUM(G17:G19)</f>
        <v>106525.680969708</v>
      </c>
      <c r="H16" s="816">
        <f>SUM(H17:H19)</f>
        <v>0</v>
      </c>
      <c r="I16" s="292"/>
      <c r="J16" s="292">
        <f>SUM(J17:J19)</f>
        <v>93082.012137405443</v>
      </c>
      <c r="K16" s="293">
        <f>SUM(K17:K19)</f>
        <v>0</v>
      </c>
      <c r="L16" s="292"/>
    </row>
    <row r="17" spans="1:12" ht="57.75" thickTop="1" thickBot="1">
      <c r="A17" s="309"/>
      <c r="B17" s="310" t="s">
        <v>53</v>
      </c>
      <c r="C17" s="295" t="s">
        <v>11</v>
      </c>
      <c r="D17" s="820">
        <f>'Смета ВС_2016'!J33</f>
        <v>18246.560000000001</v>
      </c>
      <c r="E17" s="820">
        <f>'Смета ВС_2016'!M33</f>
        <v>6932.6614800000007</v>
      </c>
      <c r="F17" s="311" t="s">
        <v>498</v>
      </c>
      <c r="G17" s="818">
        <f>'Смета ВС_2016'!K33</f>
        <v>19031.16</v>
      </c>
      <c r="H17" s="818">
        <f>'Смета ВС_2016'!N33</f>
        <v>0</v>
      </c>
      <c r="I17" s="306" t="s">
        <v>492</v>
      </c>
      <c r="J17" s="301">
        <f>'Смета ВС_2016'!L33</f>
        <v>19836.68</v>
      </c>
      <c r="K17" s="302">
        <f>'Смета ВС_2016'!O33</f>
        <v>0</v>
      </c>
      <c r="L17" s="306"/>
    </row>
    <row r="18" spans="1:12" ht="57.75" thickTop="1" thickBot="1">
      <c r="A18" s="299"/>
      <c r="B18" s="300" t="s">
        <v>55</v>
      </c>
      <c r="C18" s="299" t="s">
        <v>11</v>
      </c>
      <c r="D18" s="820">
        <f>'Смета ВС_2016'!J34</f>
        <v>80027.679000000004</v>
      </c>
      <c r="E18" s="818">
        <f>'Смета ВС_2016'!K34</f>
        <v>79409.237999999998</v>
      </c>
      <c r="F18" s="301" t="s">
        <v>490</v>
      </c>
      <c r="G18" s="818">
        <f>'Смета ВС_2016'!K34</f>
        <v>79409.237999999998</v>
      </c>
      <c r="H18" s="818">
        <f>'Смета ВС_2016'!N34</f>
        <v>0</v>
      </c>
      <c r="I18" s="301" t="s">
        <v>490</v>
      </c>
      <c r="J18" s="301">
        <f>'Смета ВС_2016'!L34</f>
        <v>64812.381999999998</v>
      </c>
      <c r="K18" s="302">
        <f>'Смета ВС_2016'!O34</f>
        <v>0</v>
      </c>
      <c r="L18" s="301" t="s">
        <v>490</v>
      </c>
    </row>
    <row r="19" spans="1:12" ht="46.5" thickTop="1" thickBot="1">
      <c r="A19" s="295"/>
      <c r="B19" s="308" t="s">
        <v>57</v>
      </c>
      <c r="C19" s="312" t="s">
        <v>11</v>
      </c>
      <c r="D19" s="820">
        <f>'Смета ВС_2016'!J35</f>
        <v>7751.9491559999997</v>
      </c>
      <c r="E19" s="819">
        <f>'Смета ВС_2016'!M35</f>
        <v>7751.9491559999997</v>
      </c>
      <c r="F19" s="313" t="s">
        <v>491</v>
      </c>
      <c r="G19" s="818">
        <f>'Смета ВС_2016'!K35</f>
        <v>8085.2829697079997</v>
      </c>
      <c r="H19" s="818">
        <f>'Смета ВС_2016'!N35</f>
        <v>0</v>
      </c>
      <c r="I19" s="306" t="s">
        <v>492</v>
      </c>
      <c r="J19" s="301">
        <f>'Смета ВС_2016'!L35</f>
        <v>8432.9501374054416</v>
      </c>
      <c r="K19" s="302">
        <f>'Смета ВС_2016'!O35</f>
        <v>0</v>
      </c>
      <c r="L19" s="306" t="s">
        <v>493</v>
      </c>
    </row>
    <row r="20" spans="1:12" ht="16.5" thickTop="1" thickBot="1">
      <c r="A20" s="292"/>
      <c r="B20" s="292" t="s">
        <v>499</v>
      </c>
      <c r="C20" s="292" t="s">
        <v>11</v>
      </c>
      <c r="D20" s="816">
        <f>SUM(D21:D23)</f>
        <v>33698.003607999999</v>
      </c>
      <c r="E20" s="816">
        <f>SUM(E21:E23)</f>
        <v>35655.84419067706</v>
      </c>
      <c r="F20" s="292"/>
      <c r="G20" s="816">
        <f>SUM(G21:G23)</f>
        <v>27716.861212424999</v>
      </c>
      <c r="H20" s="816">
        <f>SUM(H21:H23)</f>
        <v>0</v>
      </c>
      <c r="I20" s="292"/>
      <c r="J20" s="292">
        <f>SUM(J21:J23)</f>
        <v>28908.686244559274</v>
      </c>
      <c r="K20" s="293">
        <f>SUM(K21:K23)</f>
        <v>0</v>
      </c>
      <c r="L20" s="292"/>
    </row>
    <row r="21" spans="1:12" ht="39" thickTop="1">
      <c r="A21" s="299"/>
      <c r="B21" s="314" t="s">
        <v>65</v>
      </c>
      <c r="C21" s="295" t="s">
        <v>11</v>
      </c>
      <c r="D21" s="817">
        <f>'Смета ВС_2016'!J39</f>
        <v>7215.1309119999996</v>
      </c>
      <c r="E21" s="817">
        <f>'Смета ВС_2016'!M39</f>
        <v>4465.7121257492799</v>
      </c>
      <c r="F21" s="301" t="s">
        <v>490</v>
      </c>
      <c r="G21" s="818">
        <f>'Смета ВС_2016'!K39</f>
        <v>0</v>
      </c>
      <c r="H21" s="818">
        <f>'Смета ВС_2016'!N39</f>
        <v>0</v>
      </c>
      <c r="I21" s="301" t="s">
        <v>490</v>
      </c>
      <c r="J21" s="301">
        <f>'Смета ВС_2016'!L39</f>
        <v>0</v>
      </c>
      <c r="K21" s="302">
        <f>'Смета ВС_2016'!O39</f>
        <v>0</v>
      </c>
      <c r="L21" s="301" t="s">
        <v>490</v>
      </c>
    </row>
    <row r="22" spans="1:12" ht="63.75">
      <c r="A22" s="299"/>
      <c r="B22" s="219" t="s">
        <v>81</v>
      </c>
      <c r="C22" s="295" t="s">
        <v>11</v>
      </c>
      <c r="D22" s="817">
        <f>'Смета ВС_2016'!J48</f>
        <v>26482.872696000002</v>
      </c>
      <c r="E22" s="817">
        <f>'Смета ВС_2016'!M48</f>
        <v>31183.354445727775</v>
      </c>
      <c r="F22" s="315" t="s">
        <v>491</v>
      </c>
      <c r="G22" s="818">
        <f>'Смета ВС_2016'!K48</f>
        <v>27716.861212424999</v>
      </c>
      <c r="H22" s="818">
        <f>'Смета ВС_2016'!N48</f>
        <v>0</v>
      </c>
      <c r="I22" s="306" t="s">
        <v>492</v>
      </c>
      <c r="J22" s="301">
        <f>'Смета ВС_2016'!L48</f>
        <v>28908.686244559274</v>
      </c>
      <c r="K22" s="302">
        <f>'Смета ВС_2016'!O48</f>
        <v>0</v>
      </c>
      <c r="L22" s="306" t="s">
        <v>493</v>
      </c>
    </row>
    <row r="23" spans="1:12" ht="102">
      <c r="A23" s="299"/>
      <c r="B23" s="219" t="s">
        <v>87</v>
      </c>
      <c r="C23" s="295" t="s">
        <v>11</v>
      </c>
      <c r="D23" s="818">
        <f>'Смета ВС_2016'!J51</f>
        <v>0</v>
      </c>
      <c r="E23" s="818">
        <f>'Смета ВС_2016'!M51</f>
        <v>6.7776191999999993</v>
      </c>
      <c r="F23" s="301" t="s">
        <v>490</v>
      </c>
      <c r="G23" s="818">
        <f>'Смета ВС_2016'!K51</f>
        <v>0</v>
      </c>
      <c r="H23" s="818">
        <f>'Смета ВС_2016'!N51</f>
        <v>0</v>
      </c>
      <c r="I23" s="301" t="s">
        <v>490</v>
      </c>
      <c r="J23" s="301">
        <f>'Смета ВС_2016'!L51</f>
        <v>0</v>
      </c>
      <c r="K23" s="302">
        <f>'Смета ВС_2016'!O51</f>
        <v>0</v>
      </c>
      <c r="L23" s="301" t="s">
        <v>490</v>
      </c>
    </row>
    <row r="24" spans="1:12">
      <c r="A24" s="299"/>
      <c r="B24" s="219" t="s">
        <v>89</v>
      </c>
      <c r="C24" s="295" t="s">
        <v>11</v>
      </c>
      <c r="D24" s="818">
        <f>'Смета ВС_2016'!J52</f>
        <v>0</v>
      </c>
      <c r="E24" s="818">
        <f>'Смета ВС_2016'!M52</f>
        <v>304.992864</v>
      </c>
      <c r="F24" s="301" t="s">
        <v>490</v>
      </c>
      <c r="G24" s="818">
        <f>'Смета ВС_2016'!K52</f>
        <v>0</v>
      </c>
      <c r="H24" s="818">
        <f>'Смета ВС_2016'!N52</f>
        <v>0</v>
      </c>
      <c r="I24" s="301" t="s">
        <v>490</v>
      </c>
      <c r="J24" s="301">
        <f>'Смета ВС_2016'!L52</f>
        <v>0</v>
      </c>
      <c r="K24" s="302">
        <f>'Смета ВС_2016'!O52</f>
        <v>0</v>
      </c>
      <c r="L24" s="301" t="s">
        <v>490</v>
      </c>
    </row>
    <row r="25" spans="1:12">
      <c r="A25" s="299"/>
      <c r="B25" s="219" t="s">
        <v>91</v>
      </c>
      <c r="C25" s="295" t="s">
        <v>11</v>
      </c>
      <c r="D25" s="818">
        <f>'Смета ВС_2016'!J53</f>
        <v>0</v>
      </c>
      <c r="E25" s="818">
        <f>'Смета ВС_2016'!M53</f>
        <v>319.08723119999996</v>
      </c>
      <c r="F25" s="301" t="s">
        <v>490</v>
      </c>
      <c r="G25" s="818">
        <f>'Смета ВС_2016'!K53</f>
        <v>0</v>
      </c>
      <c r="H25" s="818">
        <f>'Смета ВС_2016'!N53</f>
        <v>0</v>
      </c>
      <c r="I25" s="301" t="s">
        <v>490</v>
      </c>
      <c r="J25" s="301">
        <f>'Смета ВС_2016'!L53</f>
        <v>0</v>
      </c>
      <c r="K25" s="302">
        <f>'Смета ВС_2016'!O53</f>
        <v>0</v>
      </c>
      <c r="L25" s="301" t="s">
        <v>490</v>
      </c>
    </row>
    <row r="26" spans="1:12" ht="25.5">
      <c r="A26" s="299"/>
      <c r="B26" s="219" t="s">
        <v>93</v>
      </c>
      <c r="C26" s="295" t="s">
        <v>11</v>
      </c>
      <c r="D26" s="818">
        <f>'Смета ВС_2016'!J54</f>
        <v>0</v>
      </c>
      <c r="E26" s="818">
        <f>'Смета ВС_2016'!M54</f>
        <v>58.602072544400002</v>
      </c>
      <c r="F26" s="301" t="s">
        <v>490</v>
      </c>
      <c r="G26" s="818">
        <f>'Смета ВС_2016'!K54</f>
        <v>0</v>
      </c>
      <c r="H26" s="818">
        <f>'Смета ВС_2016'!N54</f>
        <v>0</v>
      </c>
      <c r="I26" s="301" t="s">
        <v>490</v>
      </c>
      <c r="J26" s="301">
        <f>'Смета ВС_2016'!L54</f>
        <v>0</v>
      </c>
      <c r="K26" s="302">
        <f>'Смета ВС_2016'!O54</f>
        <v>0</v>
      </c>
      <c r="L26" s="301" t="s">
        <v>490</v>
      </c>
    </row>
    <row r="27" spans="1:12" ht="25.5">
      <c r="A27" s="1"/>
      <c r="B27" s="219" t="s">
        <v>95</v>
      </c>
      <c r="C27" s="295" t="s">
        <v>11</v>
      </c>
      <c r="D27" s="818">
        <f>'Смета ВС_2016'!J55</f>
        <v>16419.196614999997</v>
      </c>
      <c r="E27" s="818">
        <f>'Смета ВС_2016'!M55</f>
        <v>1706.0744599507161</v>
      </c>
      <c r="F27" s="301" t="s">
        <v>490</v>
      </c>
      <c r="G27" s="818">
        <f>'Смета ВС_2016'!K55</f>
        <v>19809.834619799996</v>
      </c>
      <c r="H27" s="818">
        <f>'Смета ВС_2016'!N55</f>
        <v>0</v>
      </c>
      <c r="I27" s="301" t="s">
        <v>490</v>
      </c>
      <c r="J27" s="301">
        <f>'Смета ВС_2016'!L55</f>
        <v>18781.722705731394</v>
      </c>
      <c r="K27" s="302">
        <f>'Смета ВС_2016'!O55</f>
        <v>0</v>
      </c>
      <c r="L27" s="301" t="s">
        <v>490</v>
      </c>
    </row>
    <row r="28" spans="1:12" ht="25.5">
      <c r="A28" s="1"/>
      <c r="B28" s="219" t="s">
        <v>390</v>
      </c>
      <c r="C28" s="295" t="s">
        <v>11</v>
      </c>
      <c r="D28" s="818">
        <f>'Смета ВС_2016'!J56</f>
        <v>4849.9180149999993</v>
      </c>
      <c r="E28" s="818" t="e">
        <f>'Смета ВС_2016'!#REF!</f>
        <v>#REF!</v>
      </c>
      <c r="F28" s="301" t="s">
        <v>490</v>
      </c>
      <c r="G28" s="818" t="e">
        <f>'Смета ВС_2016'!#REF!</f>
        <v>#REF!</v>
      </c>
      <c r="H28" s="818" t="e">
        <f>'Смета ВС_2016'!#REF!</f>
        <v>#REF!</v>
      </c>
      <c r="I28" s="301" t="s">
        <v>490</v>
      </c>
      <c r="J28" s="302" t="e">
        <f>'Смета ВС_2016'!#REF!</f>
        <v>#REF!</v>
      </c>
      <c r="K28" s="302" t="e">
        <f>'Смета ВС_2016'!#REF!</f>
        <v>#REF!</v>
      </c>
      <c r="L28" s="301" t="s">
        <v>490</v>
      </c>
    </row>
    <row r="29" spans="1:12" ht="26.25" thickBot="1">
      <c r="A29" s="1"/>
      <c r="B29" s="219" t="s">
        <v>98</v>
      </c>
      <c r="C29" s="295" t="s">
        <v>11</v>
      </c>
      <c r="D29" s="818">
        <f>'Смета ВС_2016'!J61</f>
        <v>0</v>
      </c>
      <c r="E29" s="818" t="e">
        <f>'Смета ВС_2016'!#REF!</f>
        <v>#REF!</v>
      </c>
      <c r="F29" s="301" t="s">
        <v>490</v>
      </c>
      <c r="G29" s="818" t="e">
        <f>'Смета ВС_2016'!#REF!</f>
        <v>#REF!</v>
      </c>
      <c r="H29" s="818" t="e">
        <f>'Смета ВС_2016'!#REF!</f>
        <v>#REF!</v>
      </c>
      <c r="I29" s="301" t="s">
        <v>490</v>
      </c>
      <c r="J29" s="302" t="e">
        <f>'Смета ВС_2016'!#REF!</f>
        <v>#REF!</v>
      </c>
      <c r="K29" s="302" t="e">
        <f>'Смета ВС_2016'!#REF!</f>
        <v>#REF!</v>
      </c>
      <c r="L29" s="301" t="s">
        <v>490</v>
      </c>
    </row>
    <row r="30" spans="1:12" ht="25.5" thickTop="1" thickBot="1">
      <c r="A30" s="292"/>
      <c r="B30" s="292" t="s">
        <v>500</v>
      </c>
      <c r="C30" s="292" t="s">
        <v>11</v>
      </c>
      <c r="D30" s="816">
        <f>'Смета ВС_2016'!J63</f>
        <v>8528.6563600699992</v>
      </c>
      <c r="E30" s="816">
        <f>'Смета ВС_2016'!M63</f>
        <v>7824.9219999999996</v>
      </c>
      <c r="F30" s="293" t="s">
        <v>490</v>
      </c>
      <c r="G30" s="816">
        <f>'Смета ВС_2016'!K63</f>
        <v>8895.3885835530091</v>
      </c>
      <c r="H30" s="816">
        <f>'Смета ВС_2016'!N63</f>
        <v>0</v>
      </c>
      <c r="I30" s="293" t="s">
        <v>490</v>
      </c>
      <c r="J30" s="292">
        <f>'Смета ВС_2016'!L63</f>
        <v>8895.3885835530091</v>
      </c>
      <c r="K30" s="293">
        <f>'Смета ВС_2016'!O63</f>
        <v>0</v>
      </c>
      <c r="L30" s="293" t="s">
        <v>490</v>
      </c>
    </row>
    <row r="31" spans="1:12" ht="16.5" thickTop="1" thickBot="1">
      <c r="A31" s="292"/>
      <c r="B31" s="292" t="s">
        <v>501</v>
      </c>
      <c r="C31" s="292" t="s">
        <v>11</v>
      </c>
      <c r="D31" s="816">
        <f>'Смета ВС_2016'!J65</f>
        <v>43393.107324999997</v>
      </c>
      <c r="E31" s="816">
        <f>'Смета ВС_2016'!M65</f>
        <v>49381.307484999998</v>
      </c>
      <c r="F31" s="293" t="s">
        <v>490</v>
      </c>
      <c r="G31" s="816">
        <f>'Смета ВС_2016'!K65</f>
        <v>73502.179965000003</v>
      </c>
      <c r="H31" s="816">
        <f>'Смета ВС_2016'!N65</f>
        <v>0</v>
      </c>
      <c r="I31" s="293" t="s">
        <v>490</v>
      </c>
      <c r="J31" s="292">
        <f>'Смета ВС_2016'!L65</f>
        <v>100250.80497499999</v>
      </c>
      <c r="K31" s="293">
        <f>'Смета ВС_2016'!O65</f>
        <v>0</v>
      </c>
      <c r="L31" s="293" t="s">
        <v>490</v>
      </c>
    </row>
    <row r="32" spans="1:12" ht="37.5" thickTop="1" thickBot="1">
      <c r="A32" s="316"/>
      <c r="B32" s="292" t="s">
        <v>502</v>
      </c>
      <c r="C32" s="292" t="s">
        <v>11</v>
      </c>
      <c r="D32" s="816">
        <f>'Смета ВС_2016'!J67</f>
        <v>0</v>
      </c>
      <c r="E32" s="816">
        <f>'Смета ВС_2016'!M67</f>
        <v>0</v>
      </c>
      <c r="F32" s="293" t="s">
        <v>490</v>
      </c>
      <c r="G32" s="816">
        <f>'Смета ВС_2016'!K67</f>
        <v>0</v>
      </c>
      <c r="H32" s="816">
        <f>'Смета ВС_2016'!N67</f>
        <v>0</v>
      </c>
      <c r="I32" s="293" t="s">
        <v>490</v>
      </c>
      <c r="J32" s="292">
        <f>'Смета ВС_2016'!L67</f>
        <v>0</v>
      </c>
      <c r="K32" s="292">
        <f>'Смета ВС_2016'!O67</f>
        <v>0</v>
      </c>
      <c r="L32" s="293" t="s">
        <v>490</v>
      </c>
    </row>
    <row r="33" spans="1:12" ht="25.5" thickTop="1" thickBot="1">
      <c r="A33" s="316"/>
      <c r="B33" s="292" t="s">
        <v>503</v>
      </c>
      <c r="C33" s="292" t="s">
        <v>11</v>
      </c>
      <c r="D33" s="821">
        <f>SUM(D34:D39)</f>
        <v>45137.258926719995</v>
      </c>
      <c r="E33" s="821">
        <f>SUM(E34:E39)</f>
        <v>25781.898009295997</v>
      </c>
      <c r="F33" s="293" t="s">
        <v>490</v>
      </c>
      <c r="G33" s="821">
        <f>SUM(G34:G39)</f>
        <v>41306.536912412164</v>
      </c>
      <c r="H33" s="821">
        <f>SUM(H34:H39)</f>
        <v>0</v>
      </c>
      <c r="I33" s="338"/>
      <c r="J33" s="337">
        <f>SUM(J34:J39)</f>
        <v>65263.293838742495</v>
      </c>
      <c r="K33" s="337">
        <f>SUM(K34:K39)</f>
        <v>0</v>
      </c>
      <c r="L33" s="338"/>
    </row>
    <row r="34" spans="1:12" ht="15.75" thickTop="1">
      <c r="A34" s="1"/>
      <c r="B34" s="317" t="s">
        <v>119</v>
      </c>
      <c r="C34" s="318" t="s">
        <v>11</v>
      </c>
      <c r="D34" s="822">
        <f>'Смета ВС_2016'!J73</f>
        <v>26832.239810624</v>
      </c>
      <c r="E34" s="822">
        <f>'Смета ВС_2016'!M73</f>
        <v>10913.162274</v>
      </c>
      <c r="F34" s="301" t="s">
        <v>490</v>
      </c>
      <c r="G34" s="452">
        <f>'Смета ВС_2016'!K73</f>
        <v>21796.254630155203</v>
      </c>
      <c r="H34" s="452">
        <f>'Смета ВС_2016'!N73</f>
        <v>0</v>
      </c>
      <c r="I34" s="301" t="s">
        <v>490</v>
      </c>
      <c r="J34" s="319">
        <f>'Смета ВС_2016'!L73</f>
        <v>44411.338733662968</v>
      </c>
      <c r="K34" s="319">
        <f>'Смета ВС_2016'!O73</f>
        <v>0</v>
      </c>
      <c r="L34" s="301" t="s">
        <v>490</v>
      </c>
    </row>
    <row r="35" spans="1:12" ht="38.25">
      <c r="A35" s="1"/>
      <c r="B35" s="224" t="s">
        <v>121</v>
      </c>
      <c r="C35" s="318" t="s">
        <v>11</v>
      </c>
      <c r="D35" s="823">
        <f>'Смета ВС_2016'!J74</f>
        <v>0</v>
      </c>
      <c r="E35" s="823">
        <f>'Смета ВС_2016'!M74</f>
        <v>0</v>
      </c>
      <c r="F35" s="301" t="s">
        <v>490</v>
      </c>
      <c r="G35" s="452">
        <f>'Смета ВС_2016'!K74</f>
        <v>0</v>
      </c>
      <c r="H35" s="452">
        <f>'Смета ВС_2016'!N74</f>
        <v>0</v>
      </c>
      <c r="I35" s="301" t="s">
        <v>490</v>
      </c>
      <c r="J35" s="319">
        <f>'Смета ВС_2016'!L74</f>
        <v>0</v>
      </c>
      <c r="K35" s="319">
        <f>'Смета ВС_2016'!O74</f>
        <v>0</v>
      </c>
      <c r="L35" s="301" t="s">
        <v>490</v>
      </c>
    </row>
    <row r="36" spans="1:12" ht="38.25">
      <c r="A36" s="1"/>
      <c r="B36" s="224" t="s">
        <v>123</v>
      </c>
      <c r="C36" s="318" t="s">
        <v>11</v>
      </c>
      <c r="D36" s="824">
        <f>'Смета ВС_2016'!J75</f>
        <v>8691.59</v>
      </c>
      <c r="E36" s="824">
        <f>'Смета ВС_2016'!M75</f>
        <v>8691.59</v>
      </c>
      <c r="F36" s="301" t="s">
        <v>490</v>
      </c>
      <c r="G36" s="834">
        <f>'Смета ВС_2016'!K75</f>
        <v>9800.7188750000005</v>
      </c>
      <c r="H36" s="834">
        <f>'Смета ВС_2016'!N75</f>
        <v>0</v>
      </c>
      <c r="I36" s="301" t="s">
        <v>490</v>
      </c>
      <c r="J36" s="320">
        <f>'Смета ВС_2016'!L75</f>
        <v>11045.29606375</v>
      </c>
      <c r="K36" s="320">
        <f>'Смета ВС_2016'!O75</f>
        <v>0</v>
      </c>
      <c r="L36" s="301" t="s">
        <v>490</v>
      </c>
    </row>
    <row r="37" spans="1:12">
      <c r="A37" s="1"/>
      <c r="B37" s="317" t="s">
        <v>125</v>
      </c>
      <c r="C37" s="318" t="s">
        <v>11</v>
      </c>
      <c r="D37" s="824">
        <f>'Смета ВС_2016'!J76</f>
        <v>9160.0031807999985</v>
      </c>
      <c r="E37" s="823">
        <f>'Смета ВС_2016'!M76</f>
        <v>5723.7197999999989</v>
      </c>
      <c r="F37" s="301" t="s">
        <v>490</v>
      </c>
      <c r="G37" s="834">
        <f>'Смета ВС_2016'!K76</f>
        <v>9251.603212607999</v>
      </c>
      <c r="H37" s="834">
        <f>'Смета ВС_2016'!N76</f>
        <v>0</v>
      </c>
      <c r="I37" s="301" t="s">
        <v>490</v>
      </c>
      <c r="J37" s="320">
        <f>'Смета ВС_2016'!L76</f>
        <v>9344.11924473408</v>
      </c>
      <c r="K37" s="320">
        <f>'Смета ВС_2016'!O76</f>
        <v>0</v>
      </c>
      <c r="L37" s="301" t="s">
        <v>490</v>
      </c>
    </row>
    <row r="38" spans="1:12">
      <c r="A38" s="1"/>
      <c r="B38" s="317" t="s">
        <v>127</v>
      </c>
      <c r="C38" s="318" t="s">
        <v>11</v>
      </c>
      <c r="D38" s="824">
        <f>'Смета ВС_2016'!J77</f>
        <v>453.42593529599998</v>
      </c>
      <c r="E38" s="823">
        <f>'Смета ВС_2016'!M77</f>
        <v>453.42593529599998</v>
      </c>
      <c r="F38" s="301" t="s">
        <v>490</v>
      </c>
      <c r="G38" s="834">
        <f>'Смета ВС_2016'!K77</f>
        <v>457.96019464896</v>
      </c>
      <c r="H38" s="834">
        <f>'Смета ВС_2016'!N77</f>
        <v>0</v>
      </c>
      <c r="I38" s="301" t="s">
        <v>490</v>
      </c>
      <c r="J38" s="320">
        <f>'Смета ВС_2016'!L77</f>
        <v>462.53979659544956</v>
      </c>
      <c r="K38" s="320">
        <f>'Смета ВС_2016'!O77</f>
        <v>0</v>
      </c>
      <c r="L38" s="301" t="s">
        <v>490</v>
      </c>
    </row>
    <row r="39" spans="1:12" ht="77.25" thickBot="1">
      <c r="A39" s="1"/>
      <c r="B39" s="224" t="s">
        <v>129</v>
      </c>
      <c r="C39" s="318" t="s">
        <v>11</v>
      </c>
      <c r="D39" s="825">
        <f>'Смета ВС_2016'!J78</f>
        <v>0</v>
      </c>
      <c r="E39" s="826">
        <f>'Смета ВС_2016'!M78</f>
        <v>0</v>
      </c>
      <c r="F39" s="301" t="s">
        <v>490</v>
      </c>
      <c r="G39" s="835">
        <f>'Смета ВС_2016'!K78</f>
        <v>0</v>
      </c>
      <c r="H39" s="835">
        <f>'Смета ВС_2016'!N78</f>
        <v>0</v>
      </c>
      <c r="I39" s="301" t="s">
        <v>490</v>
      </c>
      <c r="J39" s="339" t="str">
        <f>'Смета ВС_2016'!L78</f>
        <v xml:space="preserve">             </v>
      </c>
      <c r="K39" s="339">
        <f>'Смета ВС_2016'!O78</f>
        <v>0</v>
      </c>
      <c r="L39" s="301" t="s">
        <v>490</v>
      </c>
    </row>
    <row r="40" spans="1:12" ht="17.25" thickTop="1" thickBot="1">
      <c r="A40" s="1"/>
      <c r="B40" s="321" t="s">
        <v>504</v>
      </c>
      <c r="C40" s="322" t="s">
        <v>11</v>
      </c>
      <c r="D40" s="827">
        <f>D8+D16+D20+D30+D31+D32+D33</f>
        <v>865929.81363621028</v>
      </c>
      <c r="E40" s="827">
        <f>E8+E16+E20+E30+E31+E32+E33</f>
        <v>714515.46559645538</v>
      </c>
      <c r="F40" s="340"/>
      <c r="G40" s="836">
        <f>G8+G16+G20+G30+G31+G32+G33</f>
        <v>820070.22045462776</v>
      </c>
      <c r="H40" s="836">
        <f>H8+H16+H20+H30+H31+H32+H33</f>
        <v>0</v>
      </c>
      <c r="I40" s="340"/>
      <c r="J40" s="340">
        <f>J8+J16+J20+J30+J31+J32+J33</f>
        <v>878790.96021362825</v>
      </c>
      <c r="K40" s="340">
        <f>K8+K16+K20+K30+K31+K32+K33</f>
        <v>0</v>
      </c>
      <c r="L40" s="340"/>
    </row>
    <row r="41" spans="1:12" ht="15.75" thickTop="1">
      <c r="A41" s="40"/>
      <c r="B41" s="324" t="s">
        <v>131</v>
      </c>
      <c r="C41" s="324" t="s">
        <v>11</v>
      </c>
      <c r="D41" s="828">
        <f>SUM(D42:D47)</f>
        <v>33455.896513952823</v>
      </c>
      <c r="E41" s="828">
        <f>SUM(E42:E47)</f>
        <v>0</v>
      </c>
      <c r="F41" s="156"/>
      <c r="G41" s="828">
        <f>SUM(G42:G47)</f>
        <v>34976.728559918884</v>
      </c>
      <c r="H41" s="828">
        <f>SUM(H42:H47)</f>
        <v>0</v>
      </c>
      <c r="I41" s="156"/>
      <c r="J41" s="156">
        <f>SUM(J42:J47)</f>
        <v>37188.041167869203</v>
      </c>
      <c r="K41" s="341">
        <f>SUM(K42:K47)</f>
        <v>0</v>
      </c>
      <c r="L41" s="156"/>
    </row>
    <row r="42" spans="1:12">
      <c r="A42" s="1"/>
      <c r="B42" s="115" t="s">
        <v>505</v>
      </c>
      <c r="C42" s="115" t="s">
        <v>11</v>
      </c>
      <c r="D42" s="829">
        <f>'Смета ВС_2016'!J87</f>
        <v>5561.5981489082042</v>
      </c>
      <c r="E42" s="829">
        <f>'Смета ВС_2016'!M87</f>
        <v>0</v>
      </c>
      <c r="F42" s="26"/>
      <c r="G42" s="829">
        <f>'Смета ВС_2016'!K87</f>
        <v>5842.0991487644578</v>
      </c>
      <c r="H42" s="829">
        <f>'Смета ВС_2016'!N85</f>
        <v>0</v>
      </c>
      <c r="I42" s="26"/>
      <c r="J42" s="26">
        <f>'Смета ВС_2016'!L87</f>
        <v>6212.4383271659808</v>
      </c>
      <c r="K42" s="280">
        <f>'Смета ВС_2016'!O87</f>
        <v>0</v>
      </c>
      <c r="L42" s="26"/>
    </row>
    <row r="43" spans="1:12" ht="25.5">
      <c r="A43" s="1"/>
      <c r="B43" s="224" t="s">
        <v>133</v>
      </c>
      <c r="C43" s="115" t="s">
        <v>11</v>
      </c>
      <c r="D43" s="829">
        <f>'Смета ВС_2016'!J88</f>
        <v>0</v>
      </c>
      <c r="E43" s="829">
        <f>'Смета ВС_2016'!M88</f>
        <v>0</v>
      </c>
      <c r="F43" s="92"/>
      <c r="G43" s="829">
        <f>'Смета ВС_2016'!K88</f>
        <v>0</v>
      </c>
      <c r="H43" s="829">
        <f>'Смета ВС_2016'!N87</f>
        <v>0</v>
      </c>
      <c r="I43" s="92"/>
      <c r="J43" s="26">
        <f>'Смета ВС_2016'!L88</f>
        <v>0</v>
      </c>
      <c r="K43" s="280">
        <f>'Смета ВС_2016'!O88</f>
        <v>0</v>
      </c>
      <c r="L43" s="92"/>
    </row>
    <row r="44" spans="1:12">
      <c r="A44" s="1"/>
      <c r="B44" s="317" t="s">
        <v>136</v>
      </c>
      <c r="C44" s="115" t="s">
        <v>11</v>
      </c>
      <c r="D44" s="829">
        <f>'Смета ВС_2016'!J89</f>
        <v>0</v>
      </c>
      <c r="E44" s="829">
        <f>'Смета ВС_2016'!M89</f>
        <v>0</v>
      </c>
      <c r="F44" s="92"/>
      <c r="G44" s="829">
        <f>'Смета ВС_2016'!K89</f>
        <v>0</v>
      </c>
      <c r="H44" s="829" t="str">
        <f>'Смета ВС_2016'!N88</f>
        <v>проценты по кредиту учтены выше</v>
      </c>
      <c r="I44" s="92"/>
      <c r="J44" s="26">
        <f>'Смета ВС_2016'!L89</f>
        <v>0</v>
      </c>
      <c r="K44" s="280">
        <f>'Смета ВС_2016'!O89</f>
        <v>0</v>
      </c>
      <c r="L44" s="92"/>
    </row>
    <row r="45" spans="1:12" ht="76.5">
      <c r="A45" s="1"/>
      <c r="B45" s="325" t="s">
        <v>506</v>
      </c>
      <c r="C45" s="326" t="s">
        <v>11</v>
      </c>
      <c r="D45" s="829">
        <f>'Смета ВС_2016'!J90</f>
        <v>2457.0134049999997</v>
      </c>
      <c r="E45" s="829">
        <f>'Смета ВС_2016'!M90</f>
        <v>0</v>
      </c>
      <c r="F45" s="306" t="s">
        <v>491</v>
      </c>
      <c r="G45" s="829">
        <f>'Смета ВС_2016'!K90</f>
        <v>2562.6649814149996</v>
      </c>
      <c r="H45" s="829">
        <f>'Смета ВС_2016'!N89</f>
        <v>0</v>
      </c>
      <c r="I45" s="301" t="s">
        <v>492</v>
      </c>
      <c r="J45" s="26">
        <f>'Смета ВС_2016'!L90</f>
        <v>2672.8595756158443</v>
      </c>
      <c r="K45" s="280">
        <f>'Смета ВС_2016'!O90</f>
        <v>0</v>
      </c>
      <c r="L45" s="306" t="s">
        <v>493</v>
      </c>
    </row>
    <row r="46" spans="1:12" ht="76.5">
      <c r="A46" s="1"/>
      <c r="B46" s="224" t="s">
        <v>145</v>
      </c>
      <c r="C46" s="326" t="s">
        <v>11</v>
      </c>
      <c r="D46" s="829">
        <f>'Смета ВС_2016'!J91</f>
        <v>0</v>
      </c>
      <c r="E46" s="829">
        <f>'Смета ВС_2016'!M91</f>
        <v>0</v>
      </c>
      <c r="F46" s="92"/>
      <c r="G46" s="829">
        <f>'Смета ВС_2016'!K91</f>
        <v>0</v>
      </c>
      <c r="H46" s="829">
        <f>'Смета ВС_2016'!N90</f>
        <v>0</v>
      </c>
      <c r="I46" s="92"/>
      <c r="J46" s="26">
        <f>'Смета ВС_2016'!L91</f>
        <v>0</v>
      </c>
      <c r="K46" s="280">
        <f>'Смета ВС_2016'!O91</f>
        <v>0</v>
      </c>
      <c r="L46" s="92"/>
    </row>
    <row r="47" spans="1:12" ht="64.5" thickBot="1">
      <c r="A47" s="330"/>
      <c r="B47" s="331" t="s">
        <v>140</v>
      </c>
      <c r="C47" s="332" t="s">
        <v>11</v>
      </c>
      <c r="D47" s="830">
        <f>'Смета ВС_2016'!J92</f>
        <v>25437.284960044621</v>
      </c>
      <c r="E47" s="830">
        <f>'Смета ВС_2016'!M92</f>
        <v>0</v>
      </c>
      <c r="F47" s="342"/>
      <c r="G47" s="830">
        <f>'Смета ВС_2016'!K92</f>
        <v>26571.964429739426</v>
      </c>
      <c r="H47" s="830">
        <f>'Смета ВС_2016'!N91</f>
        <v>0</v>
      </c>
      <c r="I47" s="342"/>
      <c r="J47" s="342">
        <f>'Смета ВС_2016'!L92</f>
        <v>28302.743265087382</v>
      </c>
      <c r="K47" s="343">
        <f>'Смета ВС_2016'!O92</f>
        <v>0</v>
      </c>
      <c r="L47" s="342"/>
    </row>
    <row r="48" spans="1:12" ht="27" thickTop="1" thickBot="1">
      <c r="A48" s="323"/>
      <c r="B48" s="335" t="s">
        <v>386</v>
      </c>
      <c r="C48" s="336" t="s">
        <v>11</v>
      </c>
      <c r="D48" s="831">
        <f>SUM(D49:D51)</f>
        <v>0</v>
      </c>
      <c r="E48" s="832" t="e">
        <f>SUM(E49:E51)</f>
        <v>#REF!</v>
      </c>
      <c r="F48" s="344"/>
      <c r="G48" s="831">
        <f>SUM(G49:G51)</f>
        <v>0</v>
      </c>
      <c r="H48" s="832">
        <f>SUM(H49:H51)</f>
        <v>0</v>
      </c>
      <c r="I48" s="344"/>
      <c r="J48" s="344">
        <f>SUM(J49:J51)</f>
        <v>0</v>
      </c>
      <c r="K48" s="345">
        <f>SUM(K49:K51)</f>
        <v>0</v>
      </c>
      <c r="L48" s="346"/>
    </row>
    <row r="49" spans="1:12" ht="77.25" thickTop="1">
      <c r="A49" s="25"/>
      <c r="B49" s="333" t="s">
        <v>378</v>
      </c>
      <c r="C49" s="334" t="s">
        <v>11</v>
      </c>
      <c r="D49" s="833">
        <f>'Смета ВС_2016'!J95</f>
        <v>0</v>
      </c>
      <c r="E49" s="833" t="e">
        <f>'Смета ВС_2016'!M95</f>
        <v>#REF!</v>
      </c>
      <c r="F49" s="26"/>
      <c r="G49" s="829">
        <f>'Смета ВС_2016'!K95</f>
        <v>0</v>
      </c>
      <c r="H49" s="829">
        <f>'Смета ВС_2016'!N95</f>
        <v>0</v>
      </c>
      <c r="I49" s="26"/>
      <c r="J49" s="26">
        <f>'Смета ВС_2016'!L95</f>
        <v>0</v>
      </c>
      <c r="K49" s="26">
        <f>'Смета ВС_2016'!O95</f>
        <v>0</v>
      </c>
      <c r="L49" s="26"/>
    </row>
    <row r="50" spans="1:12" ht="38.25">
      <c r="A50" s="1"/>
      <c r="B50" s="224" t="s">
        <v>380</v>
      </c>
      <c r="C50" s="326" t="s">
        <v>11</v>
      </c>
      <c r="D50" s="833">
        <f>'Смета ВС_2016'!J96</f>
        <v>0</v>
      </c>
      <c r="E50" s="833">
        <f>'Смета ВС_2016'!M96</f>
        <v>0</v>
      </c>
      <c r="F50" s="92"/>
      <c r="G50" s="829">
        <f>'Смета ВС_2016'!K96</f>
        <v>0</v>
      </c>
      <c r="H50" s="829">
        <f>'Смета ВС_2016'!N96</f>
        <v>0</v>
      </c>
      <c r="I50" s="92"/>
      <c r="J50" s="26">
        <f>'Смета ВС_2016'!L96</f>
        <v>0</v>
      </c>
      <c r="K50" s="26">
        <f>'Смета ВС_2016'!O96</f>
        <v>0</v>
      </c>
      <c r="L50" s="92"/>
    </row>
    <row r="51" spans="1:12" ht="63.75">
      <c r="A51" s="1"/>
      <c r="B51" s="224" t="s">
        <v>382</v>
      </c>
      <c r="C51" s="225" t="s">
        <v>11</v>
      </c>
      <c r="D51" s="833">
        <f>'Смета ВС_2016'!J97</f>
        <v>0</v>
      </c>
      <c r="E51" s="833">
        <f>'Смета ВС_2016'!M97</f>
        <v>0</v>
      </c>
      <c r="F51" s="92"/>
      <c r="G51" s="829">
        <f>'Смета ВС_2016'!K97</f>
        <v>0</v>
      </c>
      <c r="H51" s="829">
        <f>'Смета ВС_2016'!N97</f>
        <v>0</v>
      </c>
      <c r="I51" s="92"/>
      <c r="J51" s="26">
        <f>'Смета ВС_2016'!L97</f>
        <v>0</v>
      </c>
      <c r="K51" s="26">
        <f>'Смета ВС_2016'!O97</f>
        <v>0</v>
      </c>
      <c r="L51" s="92"/>
    </row>
    <row r="52" spans="1:12" ht="30">
      <c r="A52" s="1"/>
      <c r="B52" s="225" t="s">
        <v>507</v>
      </c>
      <c r="C52" s="225" t="s">
        <v>11</v>
      </c>
      <c r="D52" s="452">
        <f>D40+D41+D48</f>
        <v>899385.71015016316</v>
      </c>
      <c r="E52" s="452" t="e">
        <f t="shared" ref="E52:L52" si="0">E40+E41+E48</f>
        <v>#REF!</v>
      </c>
      <c r="F52" s="319">
        <f t="shared" si="0"/>
        <v>0</v>
      </c>
      <c r="G52" s="452">
        <f t="shared" si="0"/>
        <v>855046.9490145467</v>
      </c>
      <c r="H52" s="452">
        <f t="shared" si="0"/>
        <v>0</v>
      </c>
      <c r="I52" s="319">
        <f t="shared" si="0"/>
        <v>0</v>
      </c>
      <c r="J52" s="319">
        <f t="shared" si="0"/>
        <v>915979.00138149748</v>
      </c>
      <c r="K52" s="319">
        <f t="shared" si="0"/>
        <v>0</v>
      </c>
      <c r="L52" s="319">
        <f t="shared" si="0"/>
        <v>0</v>
      </c>
    </row>
    <row r="53" spans="1:12" ht="30">
      <c r="A53" s="1"/>
      <c r="B53" s="62" t="s">
        <v>508</v>
      </c>
      <c r="C53" s="327" t="s">
        <v>143</v>
      </c>
      <c r="D53" s="452">
        <f>D52/(D6*1000)</f>
        <v>2.5341367510840922E-2</v>
      </c>
      <c r="E53" s="452" t="e">
        <f>E52/(E6*1000)</f>
        <v>#REF!</v>
      </c>
      <c r="F53" s="92"/>
      <c r="G53" s="452" t="e">
        <f t="shared" ref="G53:H53" si="1">G52/(G6*1000)</f>
        <v>#DIV/0!</v>
      </c>
      <c r="H53" s="452" t="e">
        <f t="shared" si="1"/>
        <v>#DIV/0!</v>
      </c>
      <c r="I53" s="92"/>
      <c r="J53" s="319" t="e">
        <f t="shared" ref="J53:K53" si="2">J52/(J6*1000)</f>
        <v>#DIV/0!</v>
      </c>
      <c r="K53" s="319" t="e">
        <f t="shared" si="2"/>
        <v>#DIV/0!</v>
      </c>
      <c r="L53" s="92"/>
    </row>
    <row r="54" spans="1:12">
      <c r="A54" s="1"/>
      <c r="B54" s="62"/>
      <c r="C54" s="63"/>
      <c r="D54" s="452"/>
      <c r="E54" s="452"/>
      <c r="F54" s="92"/>
      <c r="G54" s="439"/>
      <c r="H54" s="439"/>
      <c r="I54" s="92"/>
      <c r="J54" s="92"/>
      <c r="K54" s="92"/>
      <c r="L54" s="92"/>
    </row>
  </sheetData>
  <mergeCells count="9">
    <mergeCell ref="I4:I5"/>
    <mergeCell ref="J4:K4"/>
    <mergeCell ref="L4:L5"/>
    <mergeCell ref="A4:A5"/>
    <mergeCell ref="B4:B5"/>
    <mergeCell ref="C4:C5"/>
    <mergeCell ref="D4:E4"/>
    <mergeCell ref="F4:F5"/>
    <mergeCell ref="G4:H4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3"/>
  <sheetViews>
    <sheetView workbookViewId="0">
      <selection activeCell="O11" sqref="O11"/>
    </sheetView>
  </sheetViews>
  <sheetFormatPr defaultRowHeight="15"/>
  <sheetData>
    <row r="23" ht="12.75" customHeight="1"/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A130"/>
  <sheetViews>
    <sheetView zoomScale="90" zoomScaleNormal="90" workbookViewId="0">
      <pane xSplit="1" ySplit="8" topLeftCell="C76" activePane="bottomRight" state="frozen"/>
      <selection pane="topRight" activeCell="B1" sqref="B1"/>
      <selection pane="bottomLeft" activeCell="A9" sqref="A9"/>
      <selection pane="bottomRight" activeCell="Q79" sqref="Q79"/>
    </sheetView>
  </sheetViews>
  <sheetFormatPr defaultRowHeight="15"/>
  <cols>
    <col min="1" max="1" width="5.7109375" customWidth="1"/>
    <col min="2" max="2" width="36.85546875" customWidth="1"/>
    <col min="3" max="3" width="11.140625" customWidth="1"/>
    <col min="4" max="4" width="14.42578125" style="554" customWidth="1"/>
    <col min="5" max="5" width="14.28515625" style="554" customWidth="1"/>
    <col min="6" max="6" width="15.42578125" style="554" customWidth="1"/>
    <col min="7" max="8" width="14.28515625" style="554" hidden="1" customWidth="1"/>
    <col min="9" max="9" width="14.28515625" style="554" customWidth="1"/>
    <col min="10" max="10" width="14" style="554" customWidth="1"/>
    <col min="11" max="11" width="14.7109375" style="554" hidden="1" customWidth="1"/>
    <col min="12" max="12" width="14" style="554" hidden="1" customWidth="1"/>
    <col min="13" max="13" width="14.140625" style="554" customWidth="1"/>
    <col min="14" max="14" width="16.42578125" style="554" customWidth="1"/>
    <col min="15" max="15" width="21.42578125" style="554" customWidth="1"/>
    <col min="16" max="16" width="16.140625" customWidth="1"/>
    <col min="17" max="17" width="15.85546875" customWidth="1"/>
  </cols>
  <sheetData>
    <row r="1" spans="1:17">
      <c r="F1" s="1249"/>
      <c r="G1" s="1291"/>
      <c r="H1" s="2445"/>
      <c r="I1" s="2445"/>
      <c r="J1" s="2445"/>
      <c r="K1" s="2445"/>
      <c r="L1" s="2445"/>
      <c r="M1" s="1291"/>
    </row>
    <row r="2" spans="1:17">
      <c r="B2" s="358" t="s">
        <v>1268</v>
      </c>
      <c r="D2" s="1249"/>
      <c r="H2" s="2435">
        <f>H85*0.2</f>
        <v>2624.0286313654042</v>
      </c>
      <c r="I2" s="2435">
        <f t="shared" ref="I2:L2" si="0">I85*0.2</f>
        <v>5782.3888455277411</v>
      </c>
      <c r="J2" s="2435">
        <f t="shared" si="0"/>
        <v>6691.1793027905651</v>
      </c>
      <c r="K2" s="2435">
        <f t="shared" si="0"/>
        <v>6995.3457119837767</v>
      </c>
      <c r="L2" s="2435">
        <f t="shared" si="0"/>
        <v>7437.6082335738411</v>
      </c>
    </row>
    <row r="3" spans="1:17">
      <c r="A3" s="3430" t="s">
        <v>374</v>
      </c>
      <c r="B3" s="3430"/>
      <c r="C3" s="3430"/>
      <c r="D3" s="3430"/>
      <c r="E3" s="3430"/>
      <c r="F3" s="3430"/>
      <c r="G3" s="3430"/>
      <c r="H3" s="3430"/>
      <c r="I3" s="3430"/>
      <c r="J3" s="3430"/>
      <c r="K3" s="553"/>
      <c r="L3" s="553"/>
    </row>
    <row r="4" spans="1:17" ht="15.75" thickBot="1">
      <c r="A4" s="3202"/>
      <c r="B4" s="155" t="s">
        <v>375</v>
      </c>
      <c r="C4" s="3431" t="s">
        <v>1102</v>
      </c>
      <c r="D4" s="3431"/>
      <c r="E4" s="3431"/>
      <c r="F4" s="3431"/>
      <c r="G4" s="553"/>
      <c r="H4" s="553"/>
      <c r="I4" s="553"/>
      <c r="J4" s="553"/>
      <c r="K4" s="553"/>
      <c r="L4" s="553"/>
    </row>
    <row r="5" spans="1:17" ht="15.75" thickBot="1">
      <c r="A5" s="3389" t="s">
        <v>0</v>
      </c>
      <c r="B5" s="3389" t="s">
        <v>1</v>
      </c>
      <c r="C5" s="3389" t="s">
        <v>2</v>
      </c>
      <c r="D5" s="3432" t="s">
        <v>165</v>
      </c>
      <c r="E5" s="3433"/>
      <c r="F5" s="3433"/>
      <c r="G5" s="3433"/>
      <c r="H5" s="3433"/>
      <c r="I5" s="3433"/>
      <c r="J5" s="3433"/>
      <c r="K5" s="3433"/>
      <c r="L5" s="3434"/>
      <c r="M5" s="3196"/>
      <c r="N5" s="3197" t="s">
        <v>1802</v>
      </c>
      <c r="O5" s="2665"/>
      <c r="P5" s="3364" t="s">
        <v>1803</v>
      </c>
      <c r="Q5" s="3371"/>
    </row>
    <row r="6" spans="1:17" ht="30" customHeight="1" thickBot="1">
      <c r="A6" s="3401"/>
      <c r="B6" s="3401"/>
      <c r="C6" s="3401"/>
      <c r="D6" s="3416">
        <v>2014</v>
      </c>
      <c r="E6" s="3417"/>
      <c r="F6" s="3418">
        <v>2015</v>
      </c>
      <c r="G6" s="3419"/>
      <c r="H6" s="3420" t="s">
        <v>1375</v>
      </c>
      <c r="I6" s="3420" t="s">
        <v>1379</v>
      </c>
      <c r="J6" s="3389" t="s">
        <v>1804</v>
      </c>
      <c r="K6" s="3422" t="s">
        <v>393</v>
      </c>
      <c r="L6" s="3424" t="s">
        <v>1297</v>
      </c>
      <c r="M6" s="3426" t="s">
        <v>1805</v>
      </c>
      <c r="N6" s="3428" t="s">
        <v>1806</v>
      </c>
      <c r="O6" s="3412" t="s">
        <v>1807</v>
      </c>
      <c r="P6" s="3389" t="s">
        <v>1808</v>
      </c>
      <c r="Q6" s="3389" t="s">
        <v>1809</v>
      </c>
    </row>
    <row r="7" spans="1:17" ht="46.5" customHeight="1" thickBot="1">
      <c r="A7" s="3390"/>
      <c r="B7" s="3390"/>
      <c r="C7" s="3390"/>
      <c r="D7" s="3205" t="s">
        <v>966</v>
      </c>
      <c r="E7" s="4" t="s">
        <v>6</v>
      </c>
      <c r="F7" s="3205" t="s">
        <v>966</v>
      </c>
      <c r="G7" s="2048" t="s">
        <v>1397</v>
      </c>
      <c r="H7" s="3421"/>
      <c r="I7" s="3421"/>
      <c r="J7" s="3390"/>
      <c r="K7" s="3423"/>
      <c r="L7" s="3425"/>
      <c r="M7" s="3427"/>
      <c r="N7" s="3429"/>
      <c r="O7" s="3413"/>
      <c r="P7" s="3390"/>
      <c r="Q7" s="3390"/>
    </row>
    <row r="8" spans="1:17" ht="15.75" thickBot="1">
      <c r="A8" s="32">
        <v>1</v>
      </c>
      <c r="B8" s="3204">
        <v>2</v>
      </c>
      <c r="C8" s="3204">
        <v>3</v>
      </c>
      <c r="D8" s="3204">
        <v>4</v>
      </c>
      <c r="E8" s="3204">
        <v>5</v>
      </c>
      <c r="F8" s="3204">
        <v>6</v>
      </c>
      <c r="G8" s="3204">
        <v>7</v>
      </c>
      <c r="H8" s="3204" t="s">
        <v>1377</v>
      </c>
      <c r="I8" s="3204">
        <v>7</v>
      </c>
      <c r="J8" s="3204">
        <v>8</v>
      </c>
      <c r="K8" s="3204">
        <v>9</v>
      </c>
      <c r="L8" s="3204">
        <v>10</v>
      </c>
      <c r="M8" s="3204">
        <v>9</v>
      </c>
      <c r="N8" s="3204">
        <v>10</v>
      </c>
      <c r="O8" s="3204">
        <v>11</v>
      </c>
      <c r="P8" s="3204">
        <v>12</v>
      </c>
      <c r="Q8" s="1146">
        <v>13</v>
      </c>
    </row>
    <row r="9" spans="1:17" ht="15.75" thickBot="1">
      <c r="A9" s="221"/>
      <c r="B9" s="5"/>
      <c r="C9" s="5"/>
      <c r="D9" s="560"/>
      <c r="E9" s="560"/>
      <c r="F9" s="560"/>
      <c r="G9" s="560"/>
      <c r="H9" s="560"/>
      <c r="I9" s="560"/>
      <c r="J9" s="560"/>
      <c r="K9" s="560"/>
      <c r="L9" s="561"/>
      <c r="M9" s="562"/>
      <c r="N9" s="562"/>
      <c r="O9" s="3206"/>
      <c r="P9" s="560"/>
      <c r="Q9" s="998"/>
    </row>
    <row r="10" spans="1:17" ht="15.75" thickBot="1">
      <c r="A10" s="6">
        <v>1</v>
      </c>
      <c r="B10" s="7" t="s">
        <v>9</v>
      </c>
      <c r="C10" s="7"/>
      <c r="D10" s="1292">
        <f t="shared" ref="D10:L10" si="1">D11+D15+D21+D22+D25+D26+D27</f>
        <v>341890.75729236763</v>
      </c>
      <c r="E10" s="1292">
        <f t="shared" si="1"/>
        <v>438498.46990506834</v>
      </c>
      <c r="F10" s="1292">
        <f t="shared" si="1"/>
        <v>497880.25466280989</v>
      </c>
      <c r="G10" s="1292">
        <f t="shared" si="1"/>
        <v>495016.51887307112</v>
      </c>
      <c r="H10" s="1292">
        <f t="shared" si="1"/>
        <v>232710.05393335107</v>
      </c>
      <c r="I10" s="1292">
        <f t="shared" si="1"/>
        <v>506989.0229105961</v>
      </c>
      <c r="J10" s="1292">
        <f t="shared" si="1"/>
        <v>549221.72731729399</v>
      </c>
      <c r="K10" s="1292">
        <f t="shared" si="1"/>
        <v>562123.57281152951</v>
      </c>
      <c r="L10" s="1292">
        <f t="shared" si="1"/>
        <v>582390.77443436801</v>
      </c>
      <c r="M10" s="1292">
        <f>M11+M15+M21+M22+M25+M26+M27</f>
        <v>501777.64527548233</v>
      </c>
      <c r="N10" s="1292">
        <f>N11+N15+N21+N22+N25+N26+N27</f>
        <v>47444.082041811685</v>
      </c>
      <c r="O10" s="3207"/>
      <c r="P10" s="1292">
        <f>M10/E10-1</f>
        <v>0.1443087712121629</v>
      </c>
      <c r="Q10" s="564">
        <f>M10/I10-1</f>
        <v>-1.0279073904195246E-2</v>
      </c>
    </row>
    <row r="11" spans="1:17" ht="33" customHeight="1" thickBot="1">
      <c r="A11" s="1211" t="s">
        <v>10</v>
      </c>
      <c r="B11" s="147" t="s">
        <v>144</v>
      </c>
      <c r="C11" s="148" t="s">
        <v>11</v>
      </c>
      <c r="D11" s="544">
        <f t="shared" ref="D11:L11" si="2">D12+D13+D14</f>
        <v>89113.382495644444</v>
      </c>
      <c r="E11" s="544">
        <f t="shared" si="2"/>
        <v>88830.586908536119</v>
      </c>
      <c r="F11" s="544">
        <f t="shared" si="2"/>
        <v>88365.026002419705</v>
      </c>
      <c r="G11" s="544">
        <f t="shared" si="2"/>
        <v>101638.75511924221</v>
      </c>
      <c r="H11" s="544">
        <f t="shared" si="2"/>
        <v>47095.118982287357</v>
      </c>
      <c r="I11" s="544">
        <f t="shared" si="2"/>
        <v>116387.75244241621</v>
      </c>
      <c r="J11" s="544">
        <f t="shared" si="2"/>
        <v>162700.66830793064</v>
      </c>
      <c r="K11" s="544">
        <f t="shared" si="2"/>
        <v>167741.87364907598</v>
      </c>
      <c r="L11" s="544">
        <f t="shared" si="2"/>
        <v>176031.04993927525</v>
      </c>
      <c r="M11" s="565">
        <f>M12+M13+M14</f>
        <v>109769.91409646446</v>
      </c>
      <c r="N11" s="565">
        <f t="shared" ref="N11:N74" si="3">J11-M11</f>
        <v>52930.754211466177</v>
      </c>
      <c r="O11" s="3208"/>
      <c r="P11" s="565">
        <f t="shared" ref="P11:P73" si="4">M11/E11-1</f>
        <v>0.23572204030902544</v>
      </c>
      <c r="Q11" s="565">
        <f t="shared" ref="Q11:Q73" si="5">M11/I11-1</f>
        <v>-5.6860264134974026E-2</v>
      </c>
    </row>
    <row r="12" spans="1:17" ht="75.75" thickTop="1">
      <c r="A12" s="1148" t="s">
        <v>12</v>
      </c>
      <c r="B12" s="1784" t="s">
        <v>13</v>
      </c>
      <c r="C12" s="11" t="s">
        <v>11</v>
      </c>
      <c r="D12" s="547">
        <v>79518.399999999994</v>
      </c>
      <c r="E12" s="547">
        <f>'[7]расшифровки ВС_2016'!E66</f>
        <v>75548.850217999992</v>
      </c>
      <c r="F12" s="547">
        <f>'[7]расшифровки ВС_2016'!F66</f>
        <v>75317.127132852678</v>
      </c>
      <c r="G12" s="547">
        <f>'[7]расшифровки ВС_2016'!G66</f>
        <v>87730.314410000006</v>
      </c>
      <c r="H12" s="547">
        <f>'[7]расшифровки ВС_2016'!H66</f>
        <v>40105.535199999998</v>
      </c>
      <c r="I12" s="547">
        <f>'[7]расшифровки ВС_2016'!I66</f>
        <v>103184.77899999999</v>
      </c>
      <c r="J12" s="547">
        <f>'[7]расшифровки ВС_2016'!J66</f>
        <v>149866.22293876001</v>
      </c>
      <c r="K12" s="547">
        <f>'[7]расшифровки ВС_2016'!K66</f>
        <v>154729.834568046</v>
      </c>
      <c r="L12" s="547">
        <f>'[7]расшифровки ВС_2016'!L66</f>
        <v>162459.493177761</v>
      </c>
      <c r="M12" s="567">
        <f>'[7]расшифровки ВС_2016'!M66</f>
        <v>98678.515022066742</v>
      </c>
      <c r="N12" s="567">
        <f t="shared" si="3"/>
        <v>51187.707916693267</v>
      </c>
      <c r="O12" s="3209" t="s">
        <v>1810</v>
      </c>
      <c r="P12" s="567">
        <f t="shared" si="4"/>
        <v>0.30615508690502824</v>
      </c>
      <c r="Q12" s="567">
        <f t="shared" si="5"/>
        <v>-4.3671789789201831E-2</v>
      </c>
    </row>
    <row r="13" spans="1:17">
      <c r="A13" s="1148" t="s">
        <v>14</v>
      </c>
      <c r="B13" s="12" t="s">
        <v>15</v>
      </c>
      <c r="C13" s="11" t="s">
        <v>11</v>
      </c>
      <c r="D13" s="548">
        <v>4200</v>
      </c>
      <c r="E13" s="548">
        <f>'[7]расшифровки ВС_2016'!E80</f>
        <v>7795.1102408881325</v>
      </c>
      <c r="F13" s="548">
        <f>'[7]расшифровки ВС_2016'!F80</f>
        <v>7355.7455652621475</v>
      </c>
      <c r="G13" s="548">
        <f>'[7]расшифровки ВС_2016'!G80</f>
        <v>8197.4431674917996</v>
      </c>
      <c r="H13" s="548">
        <f>'[7]расшифровки ВС_2016'!H80</f>
        <v>4509.4796700873585</v>
      </c>
      <c r="I13" s="548">
        <f>'[7]расшифровки ВС_2016'!I80</f>
        <v>8595.627823016217</v>
      </c>
      <c r="J13" s="548">
        <f>'[7]расшифровки ВС_2016'!J80</f>
        <v>8029.6540141226305</v>
      </c>
      <c r="K13" s="548">
        <f>'[7]расшифровки ВС_2016'!K80</f>
        <v>8374.9291367299029</v>
      </c>
      <c r="L13" s="548">
        <f>'[7]расшифровки ВС_2016'!L80</f>
        <v>8735.0510896092874</v>
      </c>
      <c r="M13" s="548">
        <f>'[7]расшифровки ВС_2016'!M80</f>
        <v>8125.4956574377075</v>
      </c>
      <c r="N13" s="548">
        <f t="shared" si="3"/>
        <v>-95.841643315076908</v>
      </c>
      <c r="O13" s="3210"/>
      <c r="P13" s="548">
        <f t="shared" si="4"/>
        <v>4.2383674680646077E-2</v>
      </c>
      <c r="Q13" s="548">
        <f t="shared" si="5"/>
        <v>-5.4694337081423239E-2</v>
      </c>
    </row>
    <row r="14" spans="1:17" ht="26.25" thickBot="1">
      <c r="A14" s="1212" t="s">
        <v>16</v>
      </c>
      <c r="B14" s="150" t="s">
        <v>17</v>
      </c>
      <c r="C14" s="151" t="s">
        <v>11</v>
      </c>
      <c r="D14" s="543">
        <f>'[7]расшифровки ВС_2016'!D97</f>
        <v>5394.9824956444436</v>
      </c>
      <c r="E14" s="543">
        <f>'[7]расшифровки ВС_2016'!E97</f>
        <v>5486.6264496479998</v>
      </c>
      <c r="F14" s="543">
        <f>'[7]расшифровки ВС_2016'!F97</f>
        <v>5692.1533043048876</v>
      </c>
      <c r="G14" s="543">
        <f>'[7]расшифровки ВС_2016'!G97</f>
        <v>5710.9975417504002</v>
      </c>
      <c r="H14" s="543">
        <f>'[7]расшифровки ВС_2016'!H97</f>
        <v>2480.1041121999997</v>
      </c>
      <c r="I14" s="543">
        <f>'[7]расшифровки ВС_2016'!I97</f>
        <v>4607.3456194</v>
      </c>
      <c r="J14" s="543">
        <f>'[7]расшифровки ВС_2016'!J97</f>
        <v>4804.7913550479998</v>
      </c>
      <c r="K14" s="543">
        <f>'[7]расшифровки ВС_2016'!K97</f>
        <v>4637.1099443000639</v>
      </c>
      <c r="L14" s="543">
        <f>'[7]расшифровки ВС_2016'!L97</f>
        <v>4836.5056719049662</v>
      </c>
      <c r="M14" s="1324">
        <f>'[7]расшифровки ВС_2016'!M97</f>
        <v>2965.9034169599995</v>
      </c>
      <c r="N14" s="1324">
        <f t="shared" si="3"/>
        <v>1838.8879380880003</v>
      </c>
      <c r="O14" s="3211"/>
      <c r="P14" s="1324">
        <f t="shared" si="4"/>
        <v>-0.45943040879878383</v>
      </c>
      <c r="Q14" s="1324">
        <f t="shared" si="5"/>
        <v>-0.35626634900764409</v>
      </c>
    </row>
    <row r="15" spans="1:17" ht="32.25" customHeight="1" thickTop="1" thickBot="1">
      <c r="A15" s="1211" t="s">
        <v>18</v>
      </c>
      <c r="B15" s="147" t="s">
        <v>19</v>
      </c>
      <c r="C15" s="148" t="s">
        <v>11</v>
      </c>
      <c r="D15" s="544">
        <f>D16+D17+D18+D19+D20</f>
        <v>105396.42</v>
      </c>
      <c r="E15" s="544">
        <f t="shared" ref="E15:M15" si="6">E16+E17+E18+E19+E20</f>
        <v>103452.49281295</v>
      </c>
      <c r="F15" s="544">
        <f t="shared" si="6"/>
        <v>116277.5619902</v>
      </c>
      <c r="G15" s="544">
        <f t="shared" si="6"/>
        <v>104348.416479765</v>
      </c>
      <c r="H15" s="544">
        <f t="shared" si="6"/>
        <v>51176.511019999991</v>
      </c>
      <c r="I15" s="544">
        <f t="shared" si="6"/>
        <v>114974.388955</v>
      </c>
      <c r="J15" s="544">
        <f t="shared" si="6"/>
        <v>118675.34319160001</v>
      </c>
      <c r="K15" s="544">
        <f t="shared" si="6"/>
        <v>124710.29588484119</v>
      </c>
      <c r="L15" s="544">
        <f t="shared" si="6"/>
        <v>131201.76621657965</v>
      </c>
      <c r="M15" s="544">
        <f t="shared" si="6"/>
        <v>115557.86320357147</v>
      </c>
      <c r="N15" s="544">
        <f t="shared" si="3"/>
        <v>3117.4799880285427</v>
      </c>
      <c r="O15" s="3212"/>
      <c r="P15" s="544">
        <f t="shared" si="4"/>
        <v>0.1170138105082581</v>
      </c>
      <c r="Q15" s="544">
        <f t="shared" si="5"/>
        <v>5.0748193043219647E-3</v>
      </c>
    </row>
    <row r="16" spans="1:17" ht="75.75" customHeight="1" thickTop="1">
      <c r="A16" s="1148" t="s">
        <v>20</v>
      </c>
      <c r="B16" s="10" t="s">
        <v>21</v>
      </c>
      <c r="C16" s="11" t="s">
        <v>11</v>
      </c>
      <c r="D16" s="547">
        <f>69513.4+17519.4</f>
        <v>87032.799999999988</v>
      </c>
      <c r="E16" s="547">
        <f>'[7]расшифровки ВС_2016'!E154</f>
        <v>85452.684260000009</v>
      </c>
      <c r="F16" s="547">
        <f>'[7]расшифровки ВС_2016'!F154</f>
        <v>99221.139540000004</v>
      </c>
      <c r="G16" s="547">
        <f>'[7]расшифровки ВС_2016'!G154</f>
        <v>85402.459593000007</v>
      </c>
      <c r="H16" s="547">
        <f>'[7]расшифровки ВС_2016'!H154</f>
        <v>43117.899999999994</v>
      </c>
      <c r="I16" s="547">
        <f>'[7]расшифровки ВС_2016'!I154</f>
        <v>95641.9</v>
      </c>
      <c r="J16" s="547">
        <f>'[7]расшифровки ВС_2016'!J154</f>
        <v>99503.809000000008</v>
      </c>
      <c r="K16" s="547">
        <f>'[7]расшифровки ВС_2016'!K154</f>
        <v>104777.511</v>
      </c>
      <c r="L16" s="547">
        <f>'[7]расшифровки ВС_2016'!L154</f>
        <v>110330.72</v>
      </c>
      <c r="M16" s="567">
        <f>'[7]расшифровки ВС_2016'!M154</f>
        <v>96985.115341571465</v>
      </c>
      <c r="N16" s="567">
        <f t="shared" si="3"/>
        <v>2518.6936584285431</v>
      </c>
      <c r="O16" s="3209" t="s">
        <v>1811</v>
      </c>
      <c r="P16" s="567">
        <f t="shared" si="4"/>
        <v>0.13495692009489901</v>
      </c>
      <c r="Q16" s="567">
        <f t="shared" si="5"/>
        <v>1.4044214319994364E-2</v>
      </c>
    </row>
    <row r="17" spans="1:17">
      <c r="A17" s="1148" t="s">
        <v>24</v>
      </c>
      <c r="B17" s="12" t="s">
        <v>22</v>
      </c>
      <c r="C17" s="11" t="s">
        <v>11</v>
      </c>
      <c r="D17" s="548">
        <v>3586.36</v>
      </c>
      <c r="E17" s="548">
        <f>'[7]расшифровки ВС_2016'!E177</f>
        <v>5039.5480114000002</v>
      </c>
      <c r="F17" s="548">
        <f>'[7]расшифровки ВС_2016'!F177</f>
        <v>2715.3230250000001</v>
      </c>
      <c r="G17" s="548">
        <f>'[7]расшифровки ВС_2016'!G177</f>
        <v>4381.1189226000006</v>
      </c>
      <c r="H17" s="548">
        <f>'[7]расшифровки ВС_2016'!H172</f>
        <v>2627.95</v>
      </c>
      <c r="I17" s="548">
        <f>'[7]расшифровки ВС_2016'!I172</f>
        <v>4391.75</v>
      </c>
      <c r="J17" s="548">
        <f>'[7]расшифровки ВС_2016'!J172</f>
        <v>3579.2224999999999</v>
      </c>
      <c r="K17" s="548">
        <f>'[7]расшифровки ВС_2016'!K172</f>
        <v>3733.1290674999996</v>
      </c>
      <c r="L17" s="548">
        <f>'[7]расшифровки ВС_2016'!L172</f>
        <v>3893.6536174024991</v>
      </c>
      <c r="M17" s="573">
        <f>'[7]расшифровки ВС_2016'!M177</f>
        <v>3486.3068749999993</v>
      </c>
      <c r="N17" s="573">
        <f t="shared" si="3"/>
        <v>92.915625000000546</v>
      </c>
      <c r="O17" s="3213"/>
      <c r="P17" s="573">
        <f t="shared" si="4"/>
        <v>-0.30821040555351431</v>
      </c>
      <c r="Q17" s="573">
        <f t="shared" si="5"/>
        <v>-0.20616909546308437</v>
      </c>
    </row>
    <row r="18" spans="1:17">
      <c r="A18" s="1148" t="s">
        <v>23</v>
      </c>
      <c r="B18" s="12" t="s">
        <v>25</v>
      </c>
      <c r="C18" s="11" t="s">
        <v>11</v>
      </c>
      <c r="D18" s="548"/>
      <c r="E18" s="548">
        <f>'[7]расшифровки ВС_2016'!E195</f>
        <v>0</v>
      </c>
      <c r="F18" s="548"/>
      <c r="G18" s="548">
        <f>'[7]расшифровки ВС_2016'!G195</f>
        <v>0</v>
      </c>
      <c r="H18" s="548">
        <f>'[7]расшифровки ВС_2016'!H195</f>
        <v>0</v>
      </c>
      <c r="I18" s="548">
        <f>'[7]расшифровки ВС_2016'!I195</f>
        <v>0</v>
      </c>
      <c r="J18" s="548">
        <f>'[7]расшифровки ВС_2016'!J195</f>
        <v>0</v>
      </c>
      <c r="K18" s="548">
        <f>'[7]расшифровки ВС_2016'!K195</f>
        <v>0</v>
      </c>
      <c r="L18" s="548">
        <f>'[7]расшифровки ВС_2016'!L195</f>
        <v>0</v>
      </c>
      <c r="M18" s="573"/>
      <c r="N18" s="573">
        <f t="shared" si="3"/>
        <v>0</v>
      </c>
      <c r="O18" s="3213"/>
      <c r="P18" s="573">
        <v>0</v>
      </c>
      <c r="Q18" s="573"/>
    </row>
    <row r="19" spans="1:17">
      <c r="A19" s="1148" t="s">
        <v>26</v>
      </c>
      <c r="B19" s="12" t="s">
        <v>28</v>
      </c>
      <c r="C19" s="11" t="s">
        <v>11</v>
      </c>
      <c r="D19" s="548">
        <v>1091.46</v>
      </c>
      <c r="E19" s="548">
        <f>'[7]расшифровки ВС_2016'!E219</f>
        <v>765.9913415499999</v>
      </c>
      <c r="F19" s="548">
        <f>'[7]расшифровки ВС_2016'!F219</f>
        <v>987.50872519999996</v>
      </c>
      <c r="G19" s="548">
        <f>'[7]расшифровки ВС_2016'!G219</f>
        <v>1459.1224141649998</v>
      </c>
      <c r="H19" s="548">
        <f>'[7]расшифровки ВС_2016'!H219</f>
        <v>626.36227999999994</v>
      </c>
      <c r="I19" s="548">
        <f>'[7]расшифровки ВС_2016'!I219</f>
        <v>1558.3150799999999</v>
      </c>
      <c r="J19" s="548">
        <f>'[7]расшифровки ВС_2016'!J219</f>
        <v>1865.5016386</v>
      </c>
      <c r="K19" s="548">
        <f>'[7]расшифровки ВС_2016'!K219</f>
        <v>1972.1421660517999</v>
      </c>
      <c r="L19" s="548">
        <f>'[7]расшифровки ВС_2016'!L219</f>
        <v>2085.4957272883826</v>
      </c>
      <c r="M19" s="573">
        <f>'[7]расшифровки ВС_2016'!M219</f>
        <v>1097.361787</v>
      </c>
      <c r="N19" s="573">
        <f t="shared" si="3"/>
        <v>768.13985159999993</v>
      </c>
      <c r="O19" s="3213"/>
      <c r="P19" s="573">
        <f t="shared" si="4"/>
        <v>0.43260338266939802</v>
      </c>
      <c r="Q19" s="573">
        <f t="shared" si="5"/>
        <v>-0.29580236944122995</v>
      </c>
    </row>
    <row r="20" spans="1:17" ht="15.75" thickBot="1">
      <c r="A20" s="1212" t="s">
        <v>27</v>
      </c>
      <c r="B20" s="150" t="s">
        <v>29</v>
      </c>
      <c r="C20" s="151" t="s">
        <v>11</v>
      </c>
      <c r="D20" s="543">
        <f>13685.8</f>
        <v>13685.8</v>
      </c>
      <c r="E20" s="543">
        <f>'[7]расшифровки ВС_2016'!E240</f>
        <v>12194.269200000001</v>
      </c>
      <c r="F20" s="543">
        <f>'[7]расшифровки ВС_2016'!F240</f>
        <v>13353.590700000001</v>
      </c>
      <c r="G20" s="543">
        <f>'[7]расшифровки ВС_2016'!G240</f>
        <v>13105.715549999999</v>
      </c>
      <c r="H20" s="543">
        <f>'[7]расшифровки ВС_2016'!H240</f>
        <v>4804.2987400000002</v>
      </c>
      <c r="I20" s="543">
        <f>'[7]расшифровки ВС_2016'!I240</f>
        <v>13382.423875</v>
      </c>
      <c r="J20" s="543">
        <f>'[7]расшифровки ВС_2016'!J240</f>
        <v>13726.810052999997</v>
      </c>
      <c r="K20" s="543">
        <f>'[7]расшифровки ВС_2016'!K240</f>
        <v>14227.513651289395</v>
      </c>
      <c r="L20" s="543">
        <f>'[7]расшифровки ВС_2016'!L240</f>
        <v>14891.896871888763</v>
      </c>
      <c r="M20" s="574">
        <f>'[7]расшифровки ВС_2016'!M240</f>
        <v>13989.0792</v>
      </c>
      <c r="N20" s="574">
        <f t="shared" si="3"/>
        <v>-262.2691470000027</v>
      </c>
      <c r="O20" s="3214"/>
      <c r="P20" s="574">
        <f t="shared" si="4"/>
        <v>0.14718471197929595</v>
      </c>
      <c r="Q20" s="574">
        <f t="shared" si="5"/>
        <v>4.5332245538366678E-2</v>
      </c>
    </row>
    <row r="21" spans="1:17" ht="84" customHeight="1" thickTop="1" thickBot="1">
      <c r="A21" s="1211" t="s">
        <v>30</v>
      </c>
      <c r="B21" s="147" t="s">
        <v>31</v>
      </c>
      <c r="C21" s="148" t="s">
        <v>32</v>
      </c>
      <c r="D21" s="544">
        <f>'[7]расшифровки ВС_2016'!D262</f>
        <v>0</v>
      </c>
      <c r="E21" s="544">
        <f>'[7]расшифровки ВС_2016'!E262</f>
        <v>0</v>
      </c>
      <c r="F21" s="544">
        <f>'[7]расшифровки ВС_2016'!F262</f>
        <v>8426.7199999999993</v>
      </c>
      <c r="G21" s="544">
        <f>'[7]расшифровки ВС_2016'!G262</f>
        <v>0</v>
      </c>
      <c r="H21" s="544">
        <f>'[7]расшифровки ВС_2016'!H262</f>
        <v>0</v>
      </c>
      <c r="I21" s="544">
        <f>'[7]расшифровки ВС_2016'!I262</f>
        <v>0</v>
      </c>
      <c r="J21" s="544">
        <v>-8426.7199999999993</v>
      </c>
      <c r="K21" s="544">
        <f>'[7]расшифровки ВС_2016'!K262</f>
        <v>0</v>
      </c>
      <c r="L21" s="544">
        <f>'[7]расшифровки ВС_2016'!L262</f>
        <v>0</v>
      </c>
      <c r="M21" s="575">
        <f>'[7]расшифровки ВС_2016'!M262</f>
        <v>7520.625</v>
      </c>
      <c r="N21" s="575">
        <f t="shared" si="3"/>
        <v>-15947.344999999999</v>
      </c>
      <c r="O21" s="3215" t="s">
        <v>1812</v>
      </c>
      <c r="P21" s="575"/>
      <c r="Q21" s="575"/>
    </row>
    <row r="22" spans="1:17" ht="62.25" customHeight="1" thickTop="1" thickBot="1">
      <c r="A22" s="1213" t="s">
        <v>33</v>
      </c>
      <c r="B22" s="141" t="s">
        <v>34</v>
      </c>
      <c r="C22" s="143" t="s">
        <v>11</v>
      </c>
      <c r="D22" s="545">
        <f>D23+D24</f>
        <v>129000.3</v>
      </c>
      <c r="E22" s="545">
        <f t="shared" ref="E22:O22" si="7">E23+E24</f>
        <v>210139.09843222803</v>
      </c>
      <c r="F22" s="545">
        <f t="shared" si="7"/>
        <v>217423.83819531021</v>
      </c>
      <c r="G22" s="545">
        <f t="shared" si="7"/>
        <v>232666.03230837121</v>
      </c>
      <c r="H22" s="545">
        <f t="shared" si="7"/>
        <v>107191.418607</v>
      </c>
      <c r="I22" s="545">
        <f t="shared" si="7"/>
        <v>224365.84756513202</v>
      </c>
      <c r="J22" s="545">
        <f t="shared" si="7"/>
        <v>214820.0702042976</v>
      </c>
      <c r="K22" s="545">
        <f t="shared" si="7"/>
        <v>220274.52633509354</v>
      </c>
      <c r="L22" s="545">
        <f t="shared" si="7"/>
        <v>229746.33096750252</v>
      </c>
      <c r="M22" s="545">
        <f t="shared" si="7"/>
        <v>214820.0702042976</v>
      </c>
      <c r="N22" s="3216">
        <f t="shared" si="3"/>
        <v>0</v>
      </c>
      <c r="O22" s="3217">
        <f t="shared" si="7"/>
        <v>0</v>
      </c>
      <c r="P22" s="3216">
        <f t="shared" si="4"/>
        <v>2.2275587013519171E-2</v>
      </c>
      <c r="Q22" s="545">
        <f t="shared" si="5"/>
        <v>-4.2545590001452083E-2</v>
      </c>
    </row>
    <row r="23" spans="1:17" ht="33.75" customHeight="1" thickTop="1" thickBot="1">
      <c r="A23" s="1148" t="s">
        <v>35</v>
      </c>
      <c r="B23" s="10" t="s">
        <v>36</v>
      </c>
      <c r="C23" s="11" t="s">
        <v>11</v>
      </c>
      <c r="D23" s="619">
        <f>28287.8+17967.8+52823</f>
        <v>99078.6</v>
      </c>
      <c r="E23" s="619">
        <f>'[7]Зар.плата осн.персонала'!E112</f>
        <v>161397.15701400003</v>
      </c>
      <c r="F23" s="619">
        <f>'[7]Зар.плата осн.персонала'!F150</f>
        <v>166992.19523449324</v>
      </c>
      <c r="G23" s="619">
        <f>'[7]Зар.плата осн.персонала'!G112</f>
        <v>178698.94954560001</v>
      </c>
      <c r="H23" s="619">
        <f>'[7]Зар.плата осн.персонала'!H112</f>
        <v>82328.2785</v>
      </c>
      <c r="I23" s="619">
        <f>'[7]Зар.плата осн.персонала'!I112</f>
        <v>172323.99966600002</v>
      </c>
      <c r="J23" s="619">
        <f>'[7]Зар.плата осн.персонала'!J112</f>
        <v>164992.3734288</v>
      </c>
      <c r="K23" s="619">
        <f>'[7]Зар.плата осн.персонала'!K112</f>
        <v>169181.66385183836</v>
      </c>
      <c r="L23" s="619">
        <f>'[7]Зар.плата осн.персонала'!L112</f>
        <v>176456.47539746738</v>
      </c>
      <c r="M23" s="619">
        <f>'[7]Зар.плата осн.персонала'!M150</f>
        <v>164992.3734288</v>
      </c>
      <c r="N23" s="619">
        <f t="shared" si="3"/>
        <v>0</v>
      </c>
      <c r="O23" s="3218">
        <f>'[7]Зар.плата осн.персонала'!O150</f>
        <v>0</v>
      </c>
      <c r="P23" s="619">
        <f t="shared" si="4"/>
        <v>2.2275587013519171E-2</v>
      </c>
      <c r="Q23" s="543">
        <f t="shared" si="5"/>
        <v>-4.2545590001452194E-2</v>
      </c>
    </row>
    <row r="24" spans="1:17" ht="33.75" customHeight="1" thickTop="1" thickBot="1">
      <c r="A24" s="1212" t="s">
        <v>37</v>
      </c>
      <c r="B24" s="150" t="s">
        <v>38</v>
      </c>
      <c r="C24" s="151" t="s">
        <v>11</v>
      </c>
      <c r="D24" s="619">
        <f>8542.9+5426.3+15952.5</f>
        <v>29921.7</v>
      </c>
      <c r="E24" s="619">
        <f>'[7]Зар.плата осн.персонала'!E152</f>
        <v>48741.941418228009</v>
      </c>
      <c r="F24" s="619">
        <f>'[7]Зар.плата осн.персонала'!F152</f>
        <v>50431.642960816956</v>
      </c>
      <c r="G24" s="619">
        <f>'[7]Зар.плата осн.персонала'!G152</f>
        <v>53967.082762771199</v>
      </c>
      <c r="H24" s="619">
        <f>'[7]Зар.плата осн.персонала'!H152</f>
        <v>24863.140106999999</v>
      </c>
      <c r="I24" s="619">
        <f>'[7]Зар.плата осн.персонала'!I152</f>
        <v>52041.847899132008</v>
      </c>
      <c r="J24" s="619">
        <f>'[7]Зар.плата осн.персонала'!J152</f>
        <v>49827.696775497599</v>
      </c>
      <c r="K24" s="619">
        <f>'[7]Зар.плата осн.персонала'!K152</f>
        <v>51092.862483255187</v>
      </c>
      <c r="L24" s="619">
        <f>'[7]Зар.плата осн.персонала'!L152</f>
        <v>53289.85557003515</v>
      </c>
      <c r="M24" s="574">
        <f>'[7]Зар.плата осн.персонала'!M152</f>
        <v>49827.696775497599</v>
      </c>
      <c r="N24" s="574">
        <f t="shared" si="3"/>
        <v>0</v>
      </c>
      <c r="O24" s="3214">
        <f>'[7]Зар.плата осн.персонала'!O152</f>
        <v>0</v>
      </c>
      <c r="P24" s="574">
        <f t="shared" si="4"/>
        <v>2.2275587013519171E-2</v>
      </c>
      <c r="Q24" s="574">
        <f t="shared" si="5"/>
        <v>-4.2545590001452194E-2</v>
      </c>
    </row>
    <row r="25" spans="1:17" ht="31.5" thickTop="1" thickBot="1">
      <c r="A25" s="1211" t="s">
        <v>40</v>
      </c>
      <c r="B25" s="147" t="s">
        <v>39</v>
      </c>
      <c r="C25" s="148" t="s">
        <v>11</v>
      </c>
      <c r="D25" s="620">
        <f>'[7]расшифровки ВС_2016'!D277</f>
        <v>7134.3047967231996</v>
      </c>
      <c r="E25" s="620">
        <f>'[7]расшифровки ВС_2016'!E277</f>
        <v>6593.4003141701987</v>
      </c>
      <c r="F25" s="620">
        <f>'[7]расшифровки ВС_2016'!F277</f>
        <v>15270.548474879999</v>
      </c>
      <c r="G25" s="620">
        <f>'[7]расшифровки ВС_2016'!G277</f>
        <v>18865.194651292681</v>
      </c>
      <c r="H25" s="620">
        <f>'[7]расшифровки ВС_2016'!H277</f>
        <v>7796.6153129269987</v>
      </c>
      <c r="I25" s="620">
        <f>'[7]расшифровки ВС_2016'!I277</f>
        <v>14224.503886774455</v>
      </c>
      <c r="J25" s="620">
        <f>'[7]расшифровки ВС_2016'!J277</f>
        <v>24529.93735</v>
      </c>
      <c r="K25" s="620">
        <f>'[7]расшифровки ВС_2016'!K277</f>
        <v>11084.6847375</v>
      </c>
      <c r="L25" s="620">
        <f>'[7]расшифровки ВС_2016'!L277</f>
        <v>5542.3423687499999</v>
      </c>
      <c r="M25" s="620">
        <f>'[7]расшифровки ВС_2016'!M277</f>
        <v>22829.93735</v>
      </c>
      <c r="N25" s="620">
        <f t="shared" si="3"/>
        <v>1700</v>
      </c>
      <c r="O25" s="3219" t="s">
        <v>1813</v>
      </c>
      <c r="P25" s="620">
        <f t="shared" si="4"/>
        <v>2.4625437956398715</v>
      </c>
      <c r="Q25" s="544">
        <f t="shared" si="5"/>
        <v>0.60497248492628519</v>
      </c>
    </row>
    <row r="26" spans="1:17" ht="17.25" thickTop="1" thickBot="1">
      <c r="A26" s="1214" t="s">
        <v>41</v>
      </c>
      <c r="B26" s="376" t="s">
        <v>391</v>
      </c>
      <c r="C26" s="143" t="s">
        <v>11</v>
      </c>
      <c r="D26" s="622">
        <v>5460.95</v>
      </c>
      <c r="E26" s="622">
        <v>23785.78</v>
      </c>
      <c r="F26" s="622">
        <v>50533</v>
      </c>
      <c r="G26" s="622">
        <v>24853</v>
      </c>
      <c r="H26" s="622">
        <f>'[7]Цеховые расходы '!J63</f>
        <v>12507.791422336721</v>
      </c>
      <c r="I26" s="622">
        <f>'[7]Цеховые расходы '!K63</f>
        <v>24877.432215673445</v>
      </c>
      <c r="J26" s="622">
        <f>'[7]Цеховые расходы '!L63</f>
        <v>26101.316212873742</v>
      </c>
      <c r="K26" s="622">
        <f>'[7]Цеховые расходы '!M63</f>
        <v>27313.396548131317</v>
      </c>
      <c r="L26" s="622">
        <f>'[7]Цеховые расходы '!N63</f>
        <v>28427.743100161963</v>
      </c>
      <c r="M26" s="545">
        <f>'[7]Цеховые расходы '!O63</f>
        <v>14929.50682114878</v>
      </c>
      <c r="N26" s="545">
        <f t="shared" si="3"/>
        <v>11171.809391724963</v>
      </c>
      <c r="O26" s="3220"/>
      <c r="P26" s="545">
        <f t="shared" si="4"/>
        <v>-0.37233478064840508</v>
      </c>
      <c r="Q26" s="545">
        <f t="shared" si="5"/>
        <v>-0.39987749974682707</v>
      </c>
    </row>
    <row r="27" spans="1:17" ht="16.5" thickTop="1" thickBot="1">
      <c r="A27" s="1214" t="s">
        <v>42</v>
      </c>
      <c r="B27" s="142" t="s">
        <v>43</v>
      </c>
      <c r="C27" s="143" t="s">
        <v>11</v>
      </c>
      <c r="D27" s="621">
        <f>D28+D29+D30+D31</f>
        <v>5785.4</v>
      </c>
      <c r="E27" s="621">
        <f t="shared" ref="E27:L27" si="8">E28+E29+E30+E31</f>
        <v>5697.1114371840049</v>
      </c>
      <c r="F27" s="621">
        <f t="shared" si="8"/>
        <v>1583.56</v>
      </c>
      <c r="G27" s="621">
        <f t="shared" si="8"/>
        <v>12645.120314399999</v>
      </c>
      <c r="H27" s="621">
        <f t="shared" si="8"/>
        <v>6942.5985887999996</v>
      </c>
      <c r="I27" s="621">
        <f t="shared" si="8"/>
        <v>12159.097845599999</v>
      </c>
      <c r="J27" s="621">
        <f t="shared" si="8"/>
        <v>10821.112050592001</v>
      </c>
      <c r="K27" s="621">
        <f t="shared" si="8"/>
        <v>10998.795656887454</v>
      </c>
      <c r="L27" s="621">
        <f t="shared" si="8"/>
        <v>11441.541842098617</v>
      </c>
      <c r="M27" s="575">
        <f>'[7]расшифровки ВС_2016'!M306</f>
        <v>16349.728599999999</v>
      </c>
      <c r="N27" s="575">
        <f t="shared" si="3"/>
        <v>-5528.6165494079978</v>
      </c>
      <c r="O27" s="3221"/>
      <c r="P27" s="575">
        <f t="shared" si="4"/>
        <v>1.8698277680314113</v>
      </c>
      <c r="Q27" s="575">
        <f t="shared" si="5"/>
        <v>0.3446498093537802</v>
      </c>
    </row>
    <row r="28" spans="1:17" ht="27" customHeight="1" thickTop="1">
      <c r="A28" s="1148" t="s">
        <v>44</v>
      </c>
      <c r="B28" s="10" t="s">
        <v>1715</v>
      </c>
      <c r="C28" s="11" t="s">
        <v>11</v>
      </c>
      <c r="D28" s="623">
        <f>'[7]расшифровки ВС_2016'!D286</f>
        <v>2485.4</v>
      </c>
      <c r="E28" s="623">
        <f>'[7]расшифровки ВС_2016'!E286</f>
        <v>0</v>
      </c>
      <c r="F28" s="623"/>
      <c r="G28" s="623">
        <f>'[7]расшифровки ВС_2016'!G286</f>
        <v>0</v>
      </c>
      <c r="H28" s="623">
        <f>'[7]расшифровки ВС_2016'!H286</f>
        <v>0</v>
      </c>
      <c r="I28" s="623">
        <f>'[7]расшифровки ВС_2016'!I286</f>
        <v>0</v>
      </c>
      <c r="J28" s="623">
        <f>'[7]расшифровки ВС_2016'!J286</f>
        <v>2677.5</v>
      </c>
      <c r="K28" s="623">
        <f>'[7]расшифровки ВС_2016'!K286</f>
        <v>2701.23</v>
      </c>
      <c r="L28" s="623">
        <f>'[7]расшифровки ВС_2016'!L286</f>
        <v>2985.36</v>
      </c>
      <c r="M28" s="567">
        <f>'[7]расшифровки ВС_2016'!M286</f>
        <v>2677.5</v>
      </c>
      <c r="N28" s="3222">
        <f t="shared" si="3"/>
        <v>0</v>
      </c>
      <c r="O28" s="3223"/>
      <c r="P28" s="3222"/>
      <c r="Q28" s="567"/>
    </row>
    <row r="29" spans="1:17" ht="30.75" customHeight="1">
      <c r="A29" s="521" t="s">
        <v>45</v>
      </c>
      <c r="B29" s="12" t="s">
        <v>46</v>
      </c>
      <c r="C29" s="13" t="s">
        <v>11</v>
      </c>
      <c r="D29" s="625">
        <v>2300</v>
      </c>
      <c r="E29" s="625">
        <f>'[7]расшифровки ВС_2016'!E387</f>
        <v>2400</v>
      </c>
      <c r="F29" s="625"/>
      <c r="G29" s="2856">
        <f>'[7]расшифровки ВС_2016'!G387</f>
        <v>9840.1203143999992</v>
      </c>
      <c r="H29" s="2856">
        <f>'[7]расшифровки ВС_2016'!H387</f>
        <v>5891.1239999999998</v>
      </c>
      <c r="I29" s="2856">
        <f>'[7]расшифровки ВС_2016'!I387</f>
        <v>10056.148668</v>
      </c>
      <c r="J29" s="2856">
        <f>'[7]расшифровки ВС_2016'!J387</f>
        <v>5946.0301600000003</v>
      </c>
      <c r="K29" s="2856">
        <f>'[7]расшифровки ВС_2016'!K387</f>
        <v>6005.4877449999994</v>
      </c>
      <c r="L29" s="2856">
        <f>'[7]расшифровки ВС_2016'!L387</f>
        <v>6065.5445799999998</v>
      </c>
      <c r="M29" s="1320">
        <v>0</v>
      </c>
      <c r="N29" s="2856"/>
      <c r="O29" s="3224" t="s">
        <v>1814</v>
      </c>
      <c r="P29" s="2856"/>
      <c r="Q29" s="3225"/>
    </row>
    <row r="30" spans="1:17">
      <c r="A30" s="521" t="s">
        <v>47</v>
      </c>
      <c r="B30" s="12" t="s">
        <v>1031</v>
      </c>
      <c r="C30" s="13" t="s">
        <v>11</v>
      </c>
      <c r="D30" s="625">
        <v>1000</v>
      </c>
      <c r="E30" s="625">
        <f>'[7]расшифровки ВС_2016'!E291</f>
        <v>3297.1114371840054</v>
      </c>
      <c r="F30" s="625">
        <f>'[7]расшифровки ВС_2016'!F291</f>
        <v>1583.56</v>
      </c>
      <c r="G30" s="625">
        <f>'[7]расшифровки ВС_2016'!G291</f>
        <v>2805</v>
      </c>
      <c r="H30" s="625">
        <f>'[7]расшифровки ВС_2016'!H291</f>
        <v>1051.4745887999998</v>
      </c>
      <c r="I30" s="625">
        <f>'[7]расшифровки ВС_2016'!I291</f>
        <v>2102.9491775999995</v>
      </c>
      <c r="J30" s="625">
        <f>'[7]расшифровки ВС_2016'!J291</f>
        <v>2197.5818905919996</v>
      </c>
      <c r="K30" s="625">
        <f>'[7]расшифровки ВС_2016'!K291</f>
        <v>2292.0779118874552</v>
      </c>
      <c r="L30" s="625">
        <f>'[7]расшифровки ВС_2016'!L291</f>
        <v>2390.6372620986158</v>
      </c>
      <c r="M30" s="567">
        <f>'[7]расшифровки ВС_2016'!M291</f>
        <v>2102.9499999999998</v>
      </c>
      <c r="N30" s="567">
        <f t="shared" si="3"/>
        <v>94.631890591999763</v>
      </c>
      <c r="O30" s="3226"/>
      <c r="P30" s="567">
        <f t="shared" si="4"/>
        <v>-0.36218412993766269</v>
      </c>
      <c r="Q30" s="567">
        <f t="shared" si="5"/>
        <v>3.9106984095482744E-7</v>
      </c>
    </row>
    <row r="31" spans="1:17" ht="57.75" customHeight="1" thickBot="1">
      <c r="A31" s="1215" t="s">
        <v>48</v>
      </c>
      <c r="B31" s="10" t="s">
        <v>1281</v>
      </c>
      <c r="C31" s="17" t="s">
        <v>11</v>
      </c>
      <c r="D31" s="626">
        <f>'[7]расшифровки ВС_2016'!D292</f>
        <v>0</v>
      </c>
      <c r="E31" s="626">
        <f>'[7]расшифровки ВС_2016'!E292</f>
        <v>0</v>
      </c>
      <c r="F31" s="626"/>
      <c r="G31" s="626">
        <f>'[7]расшифровки ВС_2016'!G292</f>
        <v>0</v>
      </c>
      <c r="H31" s="626">
        <f>'[7]расшифровки ВС_2016'!H292</f>
        <v>0</v>
      </c>
      <c r="I31" s="626">
        <f>'[7]расшифровки ВС_2016'!I292</f>
        <v>0</v>
      </c>
      <c r="J31" s="626">
        <f>'[7]расшифровки ВС_2016'!J292</f>
        <v>0</v>
      </c>
      <c r="K31" s="626">
        <f>'[7]расшифровки ВС_2016'!K292</f>
        <v>0</v>
      </c>
      <c r="L31" s="626">
        <f>'[7]расшифровки ВС_2016'!L292</f>
        <v>0</v>
      </c>
      <c r="M31" s="567">
        <f>'[7]расшифровки ВС_2016'!M305</f>
        <v>11569.278599999998</v>
      </c>
      <c r="N31" s="567"/>
      <c r="O31" s="3227"/>
      <c r="P31" s="567"/>
      <c r="Q31" s="567"/>
    </row>
    <row r="32" spans="1:17" ht="15.75" thickBot="1">
      <c r="A32" s="18" t="s">
        <v>50</v>
      </c>
      <c r="B32" s="7" t="s">
        <v>51</v>
      </c>
      <c r="C32" s="19" t="s">
        <v>11</v>
      </c>
      <c r="D32" s="654">
        <f>D33+D34+D35</f>
        <v>98104.386206896539</v>
      </c>
      <c r="E32" s="654">
        <f t="shared" ref="E32:L32" si="9">E33+E34+E35</f>
        <v>56556.105212640003</v>
      </c>
      <c r="F32" s="654">
        <f t="shared" si="9"/>
        <v>23682.772358400001</v>
      </c>
      <c r="G32" s="654">
        <f t="shared" si="9"/>
        <v>57621.449359999999</v>
      </c>
      <c r="H32" s="654">
        <f t="shared" si="9"/>
        <v>23333.767888799997</v>
      </c>
      <c r="I32" s="654">
        <f t="shared" si="9"/>
        <v>57663.659939600002</v>
      </c>
      <c r="J32" s="654">
        <f t="shared" si="9"/>
        <v>106026.188156</v>
      </c>
      <c r="K32" s="654">
        <f t="shared" si="9"/>
        <v>106525.680969708</v>
      </c>
      <c r="L32" s="654">
        <f t="shared" si="9"/>
        <v>93082.012137405443</v>
      </c>
      <c r="M32" s="654">
        <f>M33+M34+M35</f>
        <v>61641.744151000014</v>
      </c>
      <c r="N32" s="654">
        <f t="shared" si="3"/>
        <v>44384.44400499999</v>
      </c>
      <c r="O32" s="3228"/>
      <c r="P32" s="654">
        <f t="shared" si="4"/>
        <v>8.9922014948500939E-2</v>
      </c>
      <c r="Q32" s="3229">
        <f t="shared" si="5"/>
        <v>6.8987716276886824E-2</v>
      </c>
    </row>
    <row r="33" spans="1:17" ht="52.5" customHeight="1" thickBot="1">
      <c r="A33" s="1216" t="s">
        <v>52</v>
      </c>
      <c r="B33" s="139" t="s">
        <v>520</v>
      </c>
      <c r="C33" s="140" t="s">
        <v>11</v>
      </c>
      <c r="D33" s="627">
        <f>'[7]расшифровки ВС_2016'!D313</f>
        <v>13627.8</v>
      </c>
      <c r="E33" s="627">
        <f>'[7]расшифровки ВС_2016'!E313</f>
        <v>9338.6</v>
      </c>
      <c r="F33" s="627">
        <f>'[7]расшифровки ВС_2016'!F313</f>
        <v>16415.400000000001</v>
      </c>
      <c r="G33" s="627">
        <f>'[7]расшифровки ВС_2016'!G313</f>
        <v>16415.400000000001</v>
      </c>
      <c r="H33" s="627">
        <f>'[7]расшифровки ВС_2016'!H313</f>
        <v>3832.0311359999992</v>
      </c>
      <c r="I33" s="627">
        <f>'[7]расшифровки ВС_2016'!I313</f>
        <v>16415.400000000001</v>
      </c>
      <c r="J33" s="627">
        <f>'[7]расшифровки ВС_2016'!J313</f>
        <v>18246.560000000001</v>
      </c>
      <c r="K33" s="627">
        <f>'[7]расшифровки ВС_2016'!K313</f>
        <v>19031.16</v>
      </c>
      <c r="L33" s="627">
        <f>'[7]расшифровки ВС_2016'!L313</f>
        <v>19836.68</v>
      </c>
      <c r="M33" s="565">
        <f>'[7]расшифровки ВС_2016'!M313</f>
        <v>6932.6614800000007</v>
      </c>
      <c r="N33" s="565">
        <f t="shared" si="3"/>
        <v>11313.898520000001</v>
      </c>
      <c r="O33" s="3208"/>
      <c r="P33" s="565">
        <f t="shared" si="4"/>
        <v>-0.25763374809928674</v>
      </c>
      <c r="Q33" s="565">
        <f t="shared" si="5"/>
        <v>-0.57767331408311706</v>
      </c>
    </row>
    <row r="34" spans="1:17" ht="51.75" customHeight="1" thickTop="1" thickBot="1">
      <c r="A34" s="1214" t="s">
        <v>54</v>
      </c>
      <c r="B34" s="1785" t="s">
        <v>521</v>
      </c>
      <c r="C34" s="143" t="s">
        <v>11</v>
      </c>
      <c r="D34" s="621">
        <f>'[7]расшифровки ВС_2016'!D321</f>
        <v>80028.299999999988</v>
      </c>
      <c r="E34" s="621">
        <f>'[7]расшифровки ВС_2016'!E321</f>
        <v>40362.868000000002</v>
      </c>
      <c r="F34" s="621">
        <v>0</v>
      </c>
      <c r="G34" s="621">
        <f>'[7]расшифровки ВС_2016'!G321</f>
        <v>33794.18</v>
      </c>
      <c r="H34" s="621">
        <f>'[7]расшифровки ВС_2016'!H321</f>
        <v>15733.232639999998</v>
      </c>
      <c r="I34" s="621">
        <f>'[7]расшифровки ВС_2016'!I321</f>
        <v>33794.18</v>
      </c>
      <c r="J34" s="621">
        <f>'[7]расшифровки ВС_2016'!J321</f>
        <v>80027.679000000004</v>
      </c>
      <c r="K34" s="621">
        <f>'[7]расшифровки ВС_2016'!K321</f>
        <v>79409.237999999998</v>
      </c>
      <c r="L34" s="621">
        <f>'[7]расшифровки ВС_2016'!L321</f>
        <v>64812.381999999998</v>
      </c>
      <c r="M34" s="3230">
        <f>'[7]расшифровки ВС_2016'!M321</f>
        <v>46957.133515000009</v>
      </c>
      <c r="N34" s="3230">
        <f t="shared" si="3"/>
        <v>33070.545484999995</v>
      </c>
      <c r="O34" s="3231" t="s">
        <v>1815</v>
      </c>
      <c r="P34" s="3230">
        <f t="shared" si="4"/>
        <v>0.16337455294306658</v>
      </c>
      <c r="Q34" s="3230">
        <f t="shared" si="5"/>
        <v>0.38950356289159882</v>
      </c>
    </row>
    <row r="35" spans="1:17" ht="39.75" thickTop="1" thickBot="1">
      <c r="A35" s="1214" t="s">
        <v>56</v>
      </c>
      <c r="B35" s="142" t="s">
        <v>57</v>
      </c>
      <c r="C35" s="143" t="s">
        <v>11</v>
      </c>
      <c r="D35" s="621">
        <f>D36+D37</f>
        <v>4448.2862068965514</v>
      </c>
      <c r="E35" s="621">
        <f t="shared" ref="E35:O35" si="10">E36+E37</f>
        <v>6854.6372126400001</v>
      </c>
      <c r="F35" s="621">
        <f t="shared" si="10"/>
        <v>7267.372358399999</v>
      </c>
      <c r="G35" s="621">
        <f t="shared" si="10"/>
        <v>7411.8693600000006</v>
      </c>
      <c r="H35" s="621">
        <f t="shared" si="10"/>
        <v>3768.5041128000007</v>
      </c>
      <c r="I35" s="621">
        <f t="shared" si="10"/>
        <v>7454.0799396000011</v>
      </c>
      <c r="J35" s="621">
        <f t="shared" si="10"/>
        <v>7751.9491559999997</v>
      </c>
      <c r="K35" s="621">
        <f t="shared" si="10"/>
        <v>8085.2829697079997</v>
      </c>
      <c r="L35" s="621">
        <f t="shared" si="10"/>
        <v>8432.9501374054416</v>
      </c>
      <c r="M35" s="1393">
        <f t="shared" si="10"/>
        <v>7751.9491559999997</v>
      </c>
      <c r="N35" s="1393">
        <f t="shared" si="3"/>
        <v>0</v>
      </c>
      <c r="O35" s="3221">
        <f t="shared" si="10"/>
        <v>0</v>
      </c>
      <c r="P35" s="1393">
        <f t="shared" si="4"/>
        <v>0.13090582557824493</v>
      </c>
      <c r="Q35" s="575">
        <f t="shared" si="5"/>
        <v>3.996056103685719E-2</v>
      </c>
    </row>
    <row r="36" spans="1:17" ht="27" thickTop="1" thickBot="1">
      <c r="A36" s="1148" t="s">
        <v>58</v>
      </c>
      <c r="B36" s="10" t="s">
        <v>59</v>
      </c>
      <c r="C36" s="11" t="s">
        <v>11</v>
      </c>
      <c r="D36" s="623">
        <f>D23/87*3</f>
        <v>3416.503448275862</v>
      </c>
      <c r="E36" s="623">
        <f>'[7]Зар.плата осн.персонала'!E196</f>
        <v>5264.6983200000004</v>
      </c>
      <c r="F36" s="623">
        <f>'[7]Зар.плата осн.персонала'!F217</f>
        <v>5581.6991999999991</v>
      </c>
      <c r="G36" s="623">
        <f>'[7]Зар.плата осн.персонала'!G221</f>
        <v>5692.68</v>
      </c>
      <c r="H36" s="623">
        <f>'[7]Зар.плата осн.персонала'!H221</f>
        <v>2894.3964000000005</v>
      </c>
      <c r="I36" s="623">
        <f>'[7]Зар.плата осн.персонала'!I221</f>
        <v>5725.0998000000009</v>
      </c>
      <c r="J36" s="623">
        <f>'[7]Зар.плата осн.персонала'!J221</f>
        <v>5953.8779999999997</v>
      </c>
      <c r="K36" s="623">
        <f>'[7]Зар.плата осн.персонала'!K221</f>
        <v>6209.8947539999999</v>
      </c>
      <c r="L36" s="623">
        <f>'[7]Зар.плата осн.персонала'!L221</f>
        <v>6476.9202284219982</v>
      </c>
      <c r="M36" s="2884">
        <f>'[7]Зар.плата осн.персонала'!M221</f>
        <v>5953.8779999999997</v>
      </c>
      <c r="N36" s="2884">
        <f t="shared" si="3"/>
        <v>0</v>
      </c>
      <c r="O36" s="3223">
        <f>'[7]Зар.плата осн.персонала'!O221</f>
        <v>0</v>
      </c>
      <c r="P36" s="2884">
        <f t="shared" si="4"/>
        <v>0.13090582557824493</v>
      </c>
      <c r="Q36" s="3232">
        <f t="shared" si="5"/>
        <v>3.996056103685719E-2</v>
      </c>
    </row>
    <row r="37" spans="1:17" ht="39" thickBot="1">
      <c r="A37" s="1215" t="s">
        <v>60</v>
      </c>
      <c r="B37" s="16" t="s">
        <v>61</v>
      </c>
      <c r="C37" s="17" t="s">
        <v>11</v>
      </c>
      <c r="D37" s="626">
        <f>D24/87*3</f>
        <v>1031.7827586206895</v>
      </c>
      <c r="E37" s="626">
        <f>'[7]Зар.плата осн.персонала'!E223</f>
        <v>1589.9388926399999</v>
      </c>
      <c r="F37" s="626">
        <f>'[7]Зар.плата осн.персонала'!F223</f>
        <v>1685.6731583999997</v>
      </c>
      <c r="G37" s="626">
        <f>'[7]расшифровки ВС_2016'!G330</f>
        <v>1719.1893600000001</v>
      </c>
      <c r="H37" s="626">
        <f>'[7]Зар.плата осн.персонала'!H223</f>
        <v>874.10771280000017</v>
      </c>
      <c r="I37" s="626">
        <f>'[7]Зар.плата осн.персонала'!I223</f>
        <v>1728.9801396</v>
      </c>
      <c r="J37" s="626">
        <f>'[7]Зар.плата осн.персонала'!J223</f>
        <v>1798.071156</v>
      </c>
      <c r="K37" s="626">
        <f>'[7]Зар.плата осн.персонала'!K223</f>
        <v>1875.388215708</v>
      </c>
      <c r="L37" s="626">
        <f>'[7]Зар.плата осн.персонала'!L223</f>
        <v>1956.0299089834434</v>
      </c>
      <c r="M37" s="2886">
        <f>'[7]Зар.плата осн.персонала'!M223</f>
        <v>1798.071156</v>
      </c>
      <c r="N37" s="2886">
        <f t="shared" si="3"/>
        <v>0</v>
      </c>
      <c r="O37" s="3233">
        <f>'[7]Зар.плата осн.персонала'!O223</f>
        <v>0</v>
      </c>
      <c r="P37" s="2886">
        <f t="shared" si="4"/>
        <v>0.13090582557824515</v>
      </c>
      <c r="Q37" s="3234">
        <f t="shared" si="5"/>
        <v>3.9960561036857412E-2</v>
      </c>
    </row>
    <row r="38" spans="1:17" ht="15.75" thickBot="1">
      <c r="A38" s="20" t="s">
        <v>62</v>
      </c>
      <c r="B38" s="7" t="s">
        <v>63</v>
      </c>
      <c r="C38" s="7" t="s">
        <v>11</v>
      </c>
      <c r="D38" s="628">
        <f>D39+D48+D51+D52+D53+D54+D55+D63</f>
        <v>31247.05</v>
      </c>
      <c r="E38" s="628">
        <f>E39+E48+E51+E52+E53+E54+E55+E63</f>
        <v>61862.961999999992</v>
      </c>
      <c r="F38" s="628">
        <f>F39+F48+F51+F52+F53+F54+F55</f>
        <v>42546.91</v>
      </c>
      <c r="G38" s="628">
        <f t="shared" ref="G38:L38" si="11">G39+G48+G51+G52+G53+G54+G55+G63</f>
        <v>61786.703489999993</v>
      </c>
      <c r="H38" s="628">
        <f t="shared" si="11"/>
        <v>28618.9624463</v>
      </c>
      <c r="I38" s="628">
        <f t="shared" si="11"/>
        <v>54614.066476599997</v>
      </c>
      <c r="J38" s="628">
        <f t="shared" si="11"/>
        <v>58645.856583069995</v>
      </c>
      <c r="K38" s="628">
        <f t="shared" si="11"/>
        <v>56422.084415778008</v>
      </c>
      <c r="L38" s="628">
        <f t="shared" si="11"/>
        <v>56585.797533843681</v>
      </c>
      <c r="M38" s="2885">
        <f>M39+M48+M51+M52+M54+M53+M55+M61</f>
        <v>45839.662358372181</v>
      </c>
      <c r="N38" s="2885">
        <f t="shared" si="3"/>
        <v>12806.194224697814</v>
      </c>
      <c r="O38" s="3235"/>
      <c r="P38" s="2885">
        <f t="shared" si="4"/>
        <v>-0.25901281030849788</v>
      </c>
      <c r="Q38" s="3236">
        <f t="shared" si="5"/>
        <v>-0.1606619811397364</v>
      </c>
    </row>
    <row r="39" spans="1:17" ht="30" customHeight="1" thickBot="1">
      <c r="A39" s="1217" t="s">
        <v>64</v>
      </c>
      <c r="B39" s="153" t="s">
        <v>65</v>
      </c>
      <c r="C39" s="154" t="s">
        <v>11</v>
      </c>
      <c r="D39" s="629">
        <f>SUM(D40:D46)</f>
        <v>8054.85</v>
      </c>
      <c r="E39" s="629">
        <f t="shared" ref="E39:L39" si="12">SUM(E40:E46)</f>
        <v>5713.3799999999992</v>
      </c>
      <c r="F39" s="629">
        <f t="shared" si="12"/>
        <v>3810.5699999999997</v>
      </c>
      <c r="G39" s="629">
        <f>SUM(G40:G46)</f>
        <v>3496.11</v>
      </c>
      <c r="H39" s="629">
        <f>SUM(H40:H46)</f>
        <v>1799.050712</v>
      </c>
      <c r="I39" s="629">
        <f t="shared" ref="I39" si="13">SUM(I40:I46)</f>
        <v>0</v>
      </c>
      <c r="J39" s="629">
        <f t="shared" si="12"/>
        <v>7215.1309119999996</v>
      </c>
      <c r="K39" s="629">
        <f t="shared" si="12"/>
        <v>0</v>
      </c>
      <c r="L39" s="629">
        <f t="shared" si="12"/>
        <v>0</v>
      </c>
      <c r="M39" s="2883">
        <f>SUM(M40:M47)</f>
        <v>4465.7121257492799</v>
      </c>
      <c r="N39" s="2883">
        <f t="shared" si="3"/>
        <v>2749.4187862507197</v>
      </c>
      <c r="O39" s="3237">
        <f>SUM(O40:O46)</f>
        <v>0</v>
      </c>
      <c r="P39" s="2883">
        <f t="shared" si="4"/>
        <v>-0.21837649066764675</v>
      </c>
      <c r="Q39" s="3238"/>
    </row>
    <row r="40" spans="1:17" ht="15.75" customHeight="1" thickTop="1" thickBot="1">
      <c r="A40" s="1218" t="s">
        <v>66</v>
      </c>
      <c r="B40" s="10" t="s">
        <v>67</v>
      </c>
      <c r="C40" s="3" t="s">
        <v>11</v>
      </c>
      <c r="D40" s="623">
        <v>1340</v>
      </c>
      <c r="E40" s="623">
        <v>1106.83</v>
      </c>
      <c r="F40" s="623">
        <v>849</v>
      </c>
      <c r="G40" s="623">
        <v>1156.6400000000001</v>
      </c>
      <c r="H40" s="623">
        <f>'[7]Админ. расх. (2)'!O11*0.59</f>
        <v>519.5994359</v>
      </c>
      <c r="I40" s="623">
        <f>'[7]Админ. расх. (2)'!R11</f>
        <v>0</v>
      </c>
      <c r="J40" s="623">
        <f>'[7]Админ. расх. (2)'!Q11</f>
        <v>1840.6149508999999</v>
      </c>
      <c r="K40" s="623">
        <f>'[7]Админ. расх. (2)'!U11</f>
        <v>0</v>
      </c>
      <c r="L40" s="624">
        <f>'[7]Админ. расх. (2)'!X11</f>
        <v>0</v>
      </c>
      <c r="M40" s="577">
        <f>'[7]Админ. расх. (2)'!AA11</f>
        <v>1036.2662173566998</v>
      </c>
      <c r="N40" s="577">
        <f t="shared" si="3"/>
        <v>804.34873354330011</v>
      </c>
      <c r="O40" s="3239" t="s">
        <v>1816</v>
      </c>
      <c r="P40" s="577">
        <f t="shared" si="4"/>
        <v>-6.3753044860818786E-2</v>
      </c>
      <c r="Q40" s="577"/>
    </row>
    <row r="41" spans="1:17" ht="15" customHeight="1">
      <c r="A41" s="537" t="s">
        <v>68</v>
      </c>
      <c r="B41" s="12" t="s">
        <v>69</v>
      </c>
      <c r="C41" s="3" t="s">
        <v>11</v>
      </c>
      <c r="D41" s="623">
        <v>1218</v>
      </c>
      <c r="E41" s="623">
        <v>412.52</v>
      </c>
      <c r="F41" s="623">
        <v>1002</v>
      </c>
      <c r="G41" s="623">
        <v>431.08</v>
      </c>
      <c r="H41" s="623">
        <f>'[7]Админ. расх. (2)'!O12*0.59</f>
        <v>126.89235019999998</v>
      </c>
      <c r="I41" s="623">
        <f>'[7]Админ. расх. (2)'!R12</f>
        <v>0</v>
      </c>
      <c r="J41" s="623">
        <f>'[7]Админ. расх. (2)'!Q12</f>
        <v>449.50002019999994</v>
      </c>
      <c r="K41" s="623">
        <f>'[7]Админ. расх. (2)'!U12</f>
        <v>0</v>
      </c>
      <c r="L41" s="624">
        <f>'[7]Админ. расх. (2)'!X12</f>
        <v>0</v>
      </c>
      <c r="M41" s="577">
        <f>'[7]Админ. расх. (2)'!AA12</f>
        <v>253.06851137259994</v>
      </c>
      <c r="N41" s="577">
        <f t="shared" si="3"/>
        <v>196.43150882739999</v>
      </c>
      <c r="O41" s="3412" t="s">
        <v>1816</v>
      </c>
      <c r="P41" s="577">
        <f t="shared" si="4"/>
        <v>-0.38653032247503161</v>
      </c>
      <c r="Q41" s="577"/>
    </row>
    <row r="42" spans="1:17" ht="45.75" thickBot="1">
      <c r="A42" s="537" t="s">
        <v>70</v>
      </c>
      <c r="B42" s="12" t="s">
        <v>71</v>
      </c>
      <c r="C42" s="3" t="s">
        <v>11</v>
      </c>
      <c r="D42" s="623">
        <v>696</v>
      </c>
      <c r="E42" s="623">
        <v>662.16</v>
      </c>
      <c r="F42" s="623">
        <v>675.6</v>
      </c>
      <c r="G42" s="623">
        <v>504</v>
      </c>
      <c r="H42" s="623">
        <f>'[7]Админ. расх. (2)'!O13*0.59</f>
        <v>0</v>
      </c>
      <c r="I42" s="623">
        <f>'[7]Админ. расх. (2)'!R13</f>
        <v>0</v>
      </c>
      <c r="J42" s="623">
        <f>'[7]Админ. расх. (2)'!Q13</f>
        <v>1541.375</v>
      </c>
      <c r="K42" s="623">
        <f>'[7]Админ. расх. (2)'!U13</f>
        <v>0</v>
      </c>
      <c r="L42" s="624">
        <f>'[7]Админ. расх. (2)'!X13</f>
        <v>0</v>
      </c>
      <c r="M42" s="577">
        <f>'[7]Админ. расх. (2)'!AA13</f>
        <v>852.01604999999995</v>
      </c>
      <c r="N42" s="577">
        <f t="shared" si="3"/>
        <v>689.35895000000005</v>
      </c>
      <c r="O42" s="3413"/>
      <c r="P42" s="577">
        <f t="shared" si="4"/>
        <v>0.28672231786879299</v>
      </c>
      <c r="Q42" s="3240" t="s">
        <v>1817</v>
      </c>
    </row>
    <row r="43" spans="1:17">
      <c r="A43" s="537" t="s">
        <v>72</v>
      </c>
      <c r="B43" s="12" t="s">
        <v>73</v>
      </c>
      <c r="C43" s="3" t="s">
        <v>11</v>
      </c>
      <c r="D43" s="623">
        <v>378.15</v>
      </c>
      <c r="E43" s="623">
        <v>860.65</v>
      </c>
      <c r="F43" s="623">
        <v>0</v>
      </c>
      <c r="G43" s="623">
        <v>273.83</v>
      </c>
      <c r="H43" s="623">
        <f>'[7]Админ. расх. (2)'!O14*0.59</f>
        <v>155.38660670000002</v>
      </c>
      <c r="I43" s="623">
        <f>'[7]Админ. расх. (2)'!R14</f>
        <v>0</v>
      </c>
      <c r="J43" s="623">
        <f>'[7]Админ. расх. (2)'!Q14</f>
        <v>550.43730170000003</v>
      </c>
      <c r="K43" s="623">
        <f>'[7]Админ. расх. (2)'!U14</f>
        <v>0</v>
      </c>
      <c r="L43" s="624">
        <f>'[7]Админ. расх. (2)'!X14</f>
        <v>0</v>
      </c>
      <c r="M43" s="577">
        <f>'[7]Админ. расх. (2)'!AA14</f>
        <v>309.89620085709998</v>
      </c>
      <c r="N43" s="577">
        <f t="shared" si="3"/>
        <v>240.54110084290005</v>
      </c>
      <c r="O43" s="3241"/>
      <c r="P43" s="577">
        <f t="shared" si="4"/>
        <v>-0.63992772804612796</v>
      </c>
      <c r="Q43" s="577"/>
    </row>
    <row r="44" spans="1:17" ht="25.5">
      <c r="A44" s="537" t="s">
        <v>74</v>
      </c>
      <c r="B44" s="12" t="s">
        <v>75</v>
      </c>
      <c r="C44" s="3" t="s">
        <v>11</v>
      </c>
      <c r="D44" s="623">
        <v>359.6</v>
      </c>
      <c r="E44" s="623">
        <f>'[7]Админ. расх. (2)'!G15*0.59</f>
        <v>412.40999999999997</v>
      </c>
      <c r="F44" s="623">
        <v>413.81</v>
      </c>
      <c r="G44" s="623">
        <v>260.39999999999998</v>
      </c>
      <c r="H44" s="623">
        <f>'[7]Админ. расх. (2)'!O15*0.59</f>
        <v>0</v>
      </c>
      <c r="I44" s="623">
        <f>'[7]Админ. расх. (2)'!R15</f>
        <v>0</v>
      </c>
      <c r="J44" s="623">
        <f>'[7]Админ. расх. (2)'!Q15</f>
        <v>0</v>
      </c>
      <c r="K44" s="623">
        <f>'[7]Админ. расх. (2)'!U15</f>
        <v>0</v>
      </c>
      <c r="L44" s="624">
        <f>'[7]Админ. расх. (2)'!X15</f>
        <v>0</v>
      </c>
      <c r="M44" s="577">
        <f>'[7]Админ. расх. (2)'!AA15</f>
        <v>0</v>
      </c>
      <c r="N44" s="577">
        <f t="shared" si="3"/>
        <v>0</v>
      </c>
      <c r="O44" s="3242"/>
      <c r="P44" s="577">
        <f t="shared" si="4"/>
        <v>-1</v>
      </c>
      <c r="Q44" s="577"/>
    </row>
    <row r="45" spans="1:17">
      <c r="A45" s="537" t="s">
        <v>76</v>
      </c>
      <c r="B45" s="12" t="s">
        <v>77</v>
      </c>
      <c r="C45" s="3" t="s">
        <v>11</v>
      </c>
      <c r="D45" s="623">
        <v>849.7</v>
      </c>
      <c r="E45" s="623">
        <v>847.81</v>
      </c>
      <c r="F45" s="623">
        <v>870.16</v>
      </c>
      <c r="G45" s="623">
        <v>870.16</v>
      </c>
      <c r="H45" s="623">
        <f>'[7]Админ. расх. (2)'!O16*0.59</f>
        <v>427.1723192</v>
      </c>
      <c r="I45" s="623">
        <f>'[7]Админ. расх. (2)'!R16</f>
        <v>0</v>
      </c>
      <c r="J45" s="623">
        <f>'[7]Админ. расх. (2)'!Q16</f>
        <v>1513.2036392</v>
      </c>
      <c r="K45" s="623">
        <f>'[7]Админ. расх. (2)'!U16</f>
        <v>0</v>
      </c>
      <c r="L45" s="624">
        <f>'[7]Админ. расх. (2)'!X16</f>
        <v>0</v>
      </c>
      <c r="M45" s="577">
        <f>'[7]Админ. расх. (2)'!AA16</f>
        <v>836.44394616287991</v>
      </c>
      <c r="N45" s="577">
        <f t="shared" si="3"/>
        <v>676.75969303712009</v>
      </c>
      <c r="O45" s="3226"/>
      <c r="P45" s="577">
        <f t="shared" si="4"/>
        <v>-1.3406369159505105E-2</v>
      </c>
      <c r="Q45" s="577"/>
    </row>
    <row r="46" spans="1:17" ht="15.75" thickBot="1">
      <c r="A46" s="1219" t="s">
        <v>78</v>
      </c>
      <c r="B46" s="150" t="s">
        <v>1718</v>
      </c>
      <c r="C46" s="152" t="s">
        <v>11</v>
      </c>
      <c r="D46" s="623">
        <f>'[7]Админ. расх. (2)'!D18</f>
        <v>3213.4</v>
      </c>
      <c r="E46" s="623">
        <f>'[7]Админ. расх. (2)'!G18</f>
        <v>1411</v>
      </c>
      <c r="F46" s="623">
        <v>0</v>
      </c>
      <c r="G46" s="623" t="s">
        <v>1492</v>
      </c>
      <c r="H46" s="623">
        <f>'[7]Админ. расх. (2)'!O18</f>
        <v>570</v>
      </c>
      <c r="I46" s="623">
        <f>'[7]Админ. расх. (2)'!R17</f>
        <v>0</v>
      </c>
      <c r="J46" s="623">
        <f>'[7]Админ. расх. (2)'!Q18</f>
        <v>1320</v>
      </c>
      <c r="K46" s="623"/>
      <c r="L46" s="625"/>
      <c r="M46" s="2882">
        <f>'[7]Админ. расх. (2)'!AA18</f>
        <v>731.9</v>
      </c>
      <c r="N46" s="2882">
        <f t="shared" si="3"/>
        <v>588.1</v>
      </c>
      <c r="O46" s="3243"/>
      <c r="P46" s="2882">
        <f t="shared" si="4"/>
        <v>-0.48128986534372786</v>
      </c>
      <c r="Q46" s="2882"/>
    </row>
    <row r="47" spans="1:17" ht="16.5" thickTop="1" thickBot="1">
      <c r="A47" s="1219" t="s">
        <v>1725</v>
      </c>
      <c r="B47" s="2878" t="s">
        <v>1724</v>
      </c>
      <c r="C47" s="152" t="s">
        <v>11</v>
      </c>
      <c r="D47" s="2879"/>
      <c r="E47" s="2879"/>
      <c r="F47" s="2879"/>
      <c r="G47" s="2879"/>
      <c r="H47" s="2879"/>
      <c r="I47" s="2879"/>
      <c r="J47" s="2879"/>
      <c r="K47" s="2879"/>
      <c r="L47" s="2880"/>
      <c r="M47" s="2882">
        <f>'[7]Админ. расх. (2)'!AA19</f>
        <v>446.12119999999993</v>
      </c>
      <c r="N47" s="2882">
        <f t="shared" si="3"/>
        <v>-446.12119999999993</v>
      </c>
      <c r="O47" s="2881"/>
      <c r="P47" s="2882"/>
      <c r="Q47" s="2882"/>
    </row>
    <row r="48" spans="1:17" ht="52.5" thickTop="1" thickBot="1">
      <c r="A48" s="1220" t="s">
        <v>80</v>
      </c>
      <c r="B48" s="142" t="s">
        <v>81</v>
      </c>
      <c r="C48" s="144" t="s">
        <v>11</v>
      </c>
      <c r="D48" s="621">
        <f>D49+D50</f>
        <v>10071.59</v>
      </c>
      <c r="E48" s="621">
        <f t="shared" ref="E48:O48" si="14">E49+E50</f>
        <v>36891.760000000002</v>
      </c>
      <c r="F48" s="621">
        <f t="shared" si="14"/>
        <v>29868.17</v>
      </c>
      <c r="G48" s="621">
        <f t="shared" si="14"/>
        <v>31472.329999999998</v>
      </c>
      <c r="H48" s="621">
        <f t="shared" si="14"/>
        <v>11586.371706</v>
      </c>
      <c r="I48" s="621">
        <f t="shared" si="14"/>
        <v>24117.284519999997</v>
      </c>
      <c r="J48" s="621">
        <f t="shared" si="14"/>
        <v>26482.872696000002</v>
      </c>
      <c r="K48" s="621">
        <f t="shared" si="14"/>
        <v>27716.861212424999</v>
      </c>
      <c r="L48" s="621">
        <f t="shared" si="14"/>
        <v>28908.686244559274</v>
      </c>
      <c r="M48" s="621">
        <f>M49+M50</f>
        <v>31183.354445727775</v>
      </c>
      <c r="N48" s="621">
        <f t="shared" si="3"/>
        <v>-4700.4817497277727</v>
      </c>
      <c r="O48" s="3244">
        <f t="shared" si="14"/>
        <v>0</v>
      </c>
      <c r="P48" s="621">
        <f t="shared" si="4"/>
        <v>-0.15473389055637976</v>
      </c>
      <c r="Q48" s="545">
        <f t="shared" si="5"/>
        <v>0.29298779138538689</v>
      </c>
    </row>
    <row r="49" spans="1:17" ht="37.5" customHeight="1" thickTop="1">
      <c r="A49" s="1218" t="s">
        <v>82</v>
      </c>
      <c r="B49" s="10" t="s">
        <v>83</v>
      </c>
      <c r="C49" s="3" t="s">
        <v>11</v>
      </c>
      <c r="D49" s="623">
        <v>8388.34</v>
      </c>
      <c r="E49" s="623">
        <v>21766.14</v>
      </c>
      <c r="F49" s="623">
        <v>22940</v>
      </c>
      <c r="G49" s="623">
        <v>24172.3</v>
      </c>
      <c r="H49" s="623">
        <f>'[7]Зар.плата осн.персонала'!H92/1000/2</f>
        <v>8898.9030000000002</v>
      </c>
      <c r="I49" s="623">
        <f>'[7]Зар.плата осн.персонала'!I92/1000/2</f>
        <v>18523.259999999998</v>
      </c>
      <c r="J49" s="623">
        <f>'[7]Зар.плата осн.персонала'!J92/1000/2</f>
        <v>20340.148000000001</v>
      </c>
      <c r="K49" s="623">
        <f>'[7]Зар.плата осн.персонала'!K92/1000/2</f>
        <v>21287.9118375</v>
      </c>
      <c r="L49" s="623">
        <f>'[7]Зар.плата осн.персонала'!L92/1000/2</f>
        <v>22203.292046512499</v>
      </c>
      <c r="M49" s="1321">
        <f>'[7]Админ. расх. (2)'!AA22</f>
        <v>23950.349036657277</v>
      </c>
      <c r="N49" s="1321">
        <f t="shared" si="3"/>
        <v>-3610.2010366572758</v>
      </c>
      <c r="O49" s="3218"/>
      <c r="P49" s="3245">
        <f t="shared" si="4"/>
        <v>0.10034893815151769</v>
      </c>
      <c r="Q49" s="1321">
        <f t="shared" si="5"/>
        <v>0.29298779138538666</v>
      </c>
    </row>
    <row r="50" spans="1:17" ht="39" thickBot="1">
      <c r="A50" s="1219" t="s">
        <v>85</v>
      </c>
      <c r="B50" s="150" t="s">
        <v>84</v>
      </c>
      <c r="C50" s="152" t="s">
        <v>11</v>
      </c>
      <c r="D50" s="630">
        <v>1683.25</v>
      </c>
      <c r="E50" s="630">
        <v>15125.62</v>
      </c>
      <c r="F50" s="630">
        <v>6928.17</v>
      </c>
      <c r="G50" s="630">
        <v>7300.03</v>
      </c>
      <c r="H50" s="630">
        <f>H49*0.302</f>
        <v>2687.4687060000001</v>
      </c>
      <c r="I50" s="630">
        <f t="shared" ref="I50:L50" si="15">I49*0.302</f>
        <v>5594.024519999999</v>
      </c>
      <c r="J50" s="630">
        <f t="shared" si="15"/>
        <v>6142.7246960000002</v>
      </c>
      <c r="K50" s="630">
        <f t="shared" si="15"/>
        <v>6428.9493749249996</v>
      </c>
      <c r="L50" s="630">
        <f t="shared" si="15"/>
        <v>6705.3941980467744</v>
      </c>
      <c r="M50" s="1322">
        <f>'[7]Админ. расх. (2)'!AA40</f>
        <v>7233.005409070498</v>
      </c>
      <c r="N50" s="1322">
        <f t="shared" si="3"/>
        <v>-1090.2807130704978</v>
      </c>
      <c r="O50" s="3243"/>
      <c r="P50" s="3246">
        <f t="shared" si="4"/>
        <v>-0.52180436841131161</v>
      </c>
      <c r="Q50" s="1322">
        <f t="shared" si="5"/>
        <v>0.29298779138538689</v>
      </c>
    </row>
    <row r="51" spans="1:17" ht="78" thickTop="1" thickBot="1">
      <c r="A51" s="1220" t="s">
        <v>86</v>
      </c>
      <c r="B51" s="142" t="s">
        <v>1296</v>
      </c>
      <c r="C51" s="144" t="s">
        <v>11</v>
      </c>
      <c r="D51" s="631">
        <v>34</v>
      </c>
      <c r="E51" s="631">
        <v>0</v>
      </c>
      <c r="F51" s="631">
        <v>6.5</v>
      </c>
      <c r="G51" s="631">
        <v>36.99</v>
      </c>
      <c r="H51" s="631">
        <f>'[7]Админ. расх. (2)'!O43*0.59</f>
        <v>3.3983999999999996</v>
      </c>
      <c r="I51" s="631">
        <f>'[7]Админ. расх. (2)'!P43*0.59</f>
        <v>6.7967999999999993</v>
      </c>
      <c r="J51" s="631">
        <f>'[7]Админ. расх. (2)'!R43</f>
        <v>0</v>
      </c>
      <c r="K51" s="631">
        <f>'[7]Админ. расх. (2)'!U43</f>
        <v>0</v>
      </c>
      <c r="L51" s="632">
        <f>'[7]Админ. расх. (2)'!X43</f>
        <v>0</v>
      </c>
      <c r="M51" s="1323">
        <f>'[7]Админ. расх. (2)'!AA43</f>
        <v>6.7776191999999993</v>
      </c>
      <c r="N51" s="1323">
        <f t="shared" si="3"/>
        <v>-6.7776191999999993</v>
      </c>
      <c r="O51" s="3247"/>
      <c r="P51" s="1323"/>
      <c r="Q51" s="545">
        <f t="shared" si="5"/>
        <v>-2.822033898305043E-3</v>
      </c>
    </row>
    <row r="52" spans="1:17" ht="16.5" thickTop="1" thickBot="1">
      <c r="A52" s="1221" t="s">
        <v>88</v>
      </c>
      <c r="B52" s="142" t="s">
        <v>89</v>
      </c>
      <c r="C52" s="144" t="s">
        <v>11</v>
      </c>
      <c r="D52" s="631">
        <v>530.62</v>
      </c>
      <c r="E52" s="631">
        <v>500.22</v>
      </c>
      <c r="F52" s="631">
        <v>296.98</v>
      </c>
      <c r="G52" s="631">
        <v>522.73</v>
      </c>
      <c r="H52" s="631">
        <f>'[7]Админ. расх. (2)'!O44*0.59</f>
        <v>198.43887720000001</v>
      </c>
      <c r="I52" s="631">
        <f>'[7]Админ. расх. (2)'!P44*0.59</f>
        <v>396.87775440000001</v>
      </c>
      <c r="J52" s="631">
        <f>'[7]Админ. расх. (2)'!R44</f>
        <v>0</v>
      </c>
      <c r="K52" s="631">
        <f>'[7]Админ. расх. (2)'!U44</f>
        <v>0</v>
      </c>
      <c r="L52" s="632">
        <f>'[7]Админ. расх. (2)'!X44</f>
        <v>0</v>
      </c>
      <c r="M52" s="586">
        <f>'[7]Админ. расх. (2)'!AA44</f>
        <v>304.992864</v>
      </c>
      <c r="N52" s="586">
        <f t="shared" si="3"/>
        <v>-304.992864</v>
      </c>
      <c r="O52" s="3248"/>
      <c r="P52" s="586">
        <f t="shared" si="4"/>
        <v>-0.39028254767902126</v>
      </c>
      <c r="Q52" s="586">
        <f t="shared" si="5"/>
        <v>-0.23151937688952018</v>
      </c>
    </row>
    <row r="53" spans="1:17" ht="16.5" thickTop="1" thickBot="1">
      <c r="A53" s="1221" t="s">
        <v>90</v>
      </c>
      <c r="B53" s="142" t="s">
        <v>91</v>
      </c>
      <c r="C53" s="144" t="s">
        <v>11</v>
      </c>
      <c r="D53" s="631">
        <v>558.78</v>
      </c>
      <c r="E53" s="631">
        <v>296.77999999999997</v>
      </c>
      <c r="F53" s="631">
        <v>311</v>
      </c>
      <c r="G53" s="631">
        <v>313.70999999999998</v>
      </c>
      <c r="H53" s="631">
        <f>'[7]Админ. расх. (2)'!O45*0.59</f>
        <v>358.67869999999994</v>
      </c>
      <c r="I53" s="631">
        <f>'[7]Админ. расх. (2)'!P45*0.59</f>
        <v>717.35739999999987</v>
      </c>
      <c r="J53" s="631">
        <f>'[7]Админ. расх. (2)'!R45</f>
        <v>0</v>
      </c>
      <c r="K53" s="631">
        <f>'[7]Админ. расх. (2)'!U45</f>
        <v>0</v>
      </c>
      <c r="L53" s="632">
        <f>'[7]Админ. расх. (2)'!X45</f>
        <v>0</v>
      </c>
      <c r="M53" s="586">
        <f>'[7]Админ. расх. (2)'!AA45</f>
        <v>319.08723119999996</v>
      </c>
      <c r="N53" s="586">
        <f t="shared" si="3"/>
        <v>-319.08723119999996</v>
      </c>
      <c r="O53" s="3247"/>
      <c r="P53" s="586">
        <f t="shared" si="4"/>
        <v>7.5164199743918081E-2</v>
      </c>
      <c r="Q53" s="586">
        <f t="shared" si="5"/>
        <v>-0.55519071637094708</v>
      </c>
    </row>
    <row r="54" spans="1:17" ht="21" customHeight="1" thickTop="1" thickBot="1">
      <c r="A54" s="1221" t="s">
        <v>92</v>
      </c>
      <c r="B54" s="142" t="s">
        <v>93</v>
      </c>
      <c r="C54" s="144" t="s">
        <v>11</v>
      </c>
      <c r="D54" s="631">
        <v>136.88999999999999</v>
      </c>
      <c r="E54" s="631">
        <v>154.16999999999999</v>
      </c>
      <c r="F54" s="631">
        <v>76.010000000000005</v>
      </c>
      <c r="G54" s="631">
        <v>76.03</v>
      </c>
      <c r="H54" s="631">
        <f>'[7]Админ. расх. (2)'!O46*0.59</f>
        <v>29.383958800000002</v>
      </c>
      <c r="I54" s="631">
        <f>'[7]Админ. расх. (2)'!P46*0.59</f>
        <v>58.767917600000004</v>
      </c>
      <c r="J54" s="631">
        <f>'[7]Админ. расх. (2)'!R46</f>
        <v>0</v>
      </c>
      <c r="K54" s="631">
        <f>'[7]Админ. расх. (2)'!U46</f>
        <v>0</v>
      </c>
      <c r="L54" s="632">
        <f>'[7]Админ. расх. (2)'!X46</f>
        <v>0</v>
      </c>
      <c r="M54" s="586">
        <f>'[7]Админ. расх. (2)'!AA46</f>
        <v>58.602072544400002</v>
      </c>
      <c r="N54" s="586">
        <f t="shared" si="3"/>
        <v>-58.602072544400002</v>
      </c>
      <c r="O54" s="3247"/>
      <c r="P54" s="586">
        <f t="shared" si="4"/>
        <v>-0.61988666702730755</v>
      </c>
      <c r="Q54" s="3249">
        <f t="shared" si="5"/>
        <v>-2.8220338983051541E-3</v>
      </c>
    </row>
    <row r="55" spans="1:17" ht="16.5" thickTop="1" thickBot="1">
      <c r="A55" s="1221" t="s">
        <v>94</v>
      </c>
      <c r="B55" s="142" t="s">
        <v>95</v>
      </c>
      <c r="C55" s="144" t="s">
        <v>11</v>
      </c>
      <c r="D55" s="631">
        <f>D57+D61</f>
        <v>11860.32</v>
      </c>
      <c r="E55" s="631">
        <f t="shared" ref="E55" si="16">E57+E61</f>
        <v>10481.73</v>
      </c>
      <c r="F55" s="631">
        <f>F57+F61</f>
        <v>8177.68</v>
      </c>
      <c r="G55" s="631">
        <f t="shared" ref="G55" si="17">G56+G61</f>
        <v>17691.760000000002</v>
      </c>
      <c r="H55" s="631">
        <f>H56+H57+H61+H62</f>
        <v>10555.1183473</v>
      </c>
      <c r="I55" s="631">
        <f t="shared" ref="I55:L55" si="18">I56+I57+I61+I62</f>
        <v>21139.9385946</v>
      </c>
      <c r="J55" s="631">
        <f t="shared" si="18"/>
        <v>16419.196614999997</v>
      </c>
      <c r="K55" s="631">
        <f t="shared" si="18"/>
        <v>19809.834619799996</v>
      </c>
      <c r="L55" s="631">
        <f t="shared" si="18"/>
        <v>18781.722705731394</v>
      </c>
      <c r="M55" s="631">
        <f>M56+M57+M58+M59+M60</f>
        <v>1706.0744599507161</v>
      </c>
      <c r="N55" s="631">
        <f t="shared" si="3"/>
        <v>14713.122155049281</v>
      </c>
      <c r="O55" s="632">
        <f t="shared" ref="O55" si="19">O56+O61+O62-O62</f>
        <v>0</v>
      </c>
      <c r="P55" s="631">
        <f t="shared" si="4"/>
        <v>-0.83723350439758359</v>
      </c>
      <c r="Q55" s="3249">
        <f t="shared" si="5"/>
        <v>-0.91929614874158072</v>
      </c>
    </row>
    <row r="56" spans="1:17" ht="26.25" thickTop="1">
      <c r="A56" s="3250" t="s">
        <v>96</v>
      </c>
      <c r="B56" s="194" t="s">
        <v>390</v>
      </c>
      <c r="C56" s="190" t="s">
        <v>11</v>
      </c>
      <c r="D56" s="633">
        <v>5858</v>
      </c>
      <c r="E56" s="633">
        <v>0</v>
      </c>
      <c r="F56" s="633">
        <v>5860.32</v>
      </c>
      <c r="G56" s="633">
        <v>2295.0100000000002</v>
      </c>
      <c r="H56" s="633">
        <f>'[7]расшифровки ВС_2016'!H384</f>
        <v>2970.19</v>
      </c>
      <c r="I56" s="633">
        <f>'[7]расшифровки ВС_2016'!I384</f>
        <v>5970.0819000000001</v>
      </c>
      <c r="J56" s="633">
        <f>'[7]расшифровки ВС_2016'!J384</f>
        <v>4849.9180149999993</v>
      </c>
      <c r="K56" s="633">
        <f>'[7]расшифровки ВС_2016'!K384</f>
        <v>7743.0770399999992</v>
      </c>
      <c r="L56" s="633">
        <f>'[7]расшифровки ВС_2016'!L384</f>
        <v>6196.0945499999998</v>
      </c>
      <c r="M56" s="590">
        <v>0</v>
      </c>
      <c r="N56" s="590">
        <f t="shared" si="3"/>
        <v>4849.9180149999993</v>
      </c>
      <c r="O56" s="3251"/>
      <c r="P56" s="590"/>
      <c r="Q56" s="590">
        <f t="shared" si="5"/>
        <v>-1</v>
      </c>
    </row>
    <row r="57" spans="1:17" ht="25.5">
      <c r="A57" s="3252" t="s">
        <v>97</v>
      </c>
      <c r="B57" s="192" t="s">
        <v>1100</v>
      </c>
      <c r="C57" s="384" t="s">
        <v>11</v>
      </c>
      <c r="D57" s="633"/>
      <c r="E57" s="633"/>
      <c r="F57" s="633">
        <v>56.97</v>
      </c>
      <c r="G57" s="633">
        <v>59.53</v>
      </c>
      <c r="H57" s="633">
        <f>('[7]Админ. расх. (2)'!O48+'[7]Админ. расх. (2)'!O49+'[7]Админ. расх. (2)'!O50)*0.59</f>
        <v>784.04714729999989</v>
      </c>
      <c r="I57" s="633">
        <f>('[7]Админ. расх. (2)'!P48+'[7]Админ. расх. (2)'!P49+'[7]Админ. расх. (2)'!P50)*0.59</f>
        <v>1568.0942945999998</v>
      </c>
      <c r="J57" s="633">
        <f>'[7]Админ. расх. (2)'!R48+'[7]Админ. расх. (2)'!R49+'[7]Админ. расх. (2)'!R50</f>
        <v>0</v>
      </c>
      <c r="K57" s="633">
        <f>'[7]Админ. расх. (2)'!U48+'[7]Админ. расх. (2)'!U49+'[7]Админ. расх. (2)'!U50</f>
        <v>0</v>
      </c>
      <c r="L57" s="634">
        <f>'[7]Админ. расх. (2)'!X48+'[7]Админ. расх. (2)'!X49+'[7]Админ. расх. (2)'!X50</f>
        <v>0</v>
      </c>
      <c r="M57" s="1210">
        <f>'[7]Админ. расх. (2)'!AA48</f>
        <v>300.53061044999998</v>
      </c>
      <c r="N57" s="1210">
        <f t="shared" si="3"/>
        <v>-300.53061044999998</v>
      </c>
      <c r="O57" s="3253"/>
      <c r="P57" s="1210"/>
      <c r="Q57" s="1210">
        <f t="shared" si="5"/>
        <v>-0.8083465953004686</v>
      </c>
    </row>
    <row r="58" spans="1:17">
      <c r="A58" s="3252" t="s">
        <v>543</v>
      </c>
      <c r="B58" s="192" t="s">
        <v>1722</v>
      </c>
      <c r="C58" s="384" t="s">
        <v>11</v>
      </c>
      <c r="D58" s="633"/>
      <c r="E58" s="633"/>
      <c r="F58" s="633"/>
      <c r="G58" s="633"/>
      <c r="H58" s="633"/>
      <c r="I58" s="633"/>
      <c r="J58" s="633"/>
      <c r="K58" s="633"/>
      <c r="L58" s="634"/>
      <c r="M58" s="1210">
        <f>'[7]Админ. расх. (2)'!AA49</f>
        <v>312.35774849999996</v>
      </c>
      <c r="N58" s="1210">
        <f t="shared" si="3"/>
        <v>-312.35774849999996</v>
      </c>
      <c r="O58" s="3253"/>
      <c r="P58" s="1210"/>
      <c r="Q58" s="1210"/>
    </row>
    <row r="59" spans="1:17">
      <c r="A59" s="3252" t="s">
        <v>1720</v>
      </c>
      <c r="B59" s="192" t="s">
        <v>1714</v>
      </c>
      <c r="C59" s="384" t="s">
        <v>11</v>
      </c>
      <c r="D59" s="633"/>
      <c r="E59" s="633"/>
      <c r="F59" s="633"/>
      <c r="G59" s="633"/>
      <c r="H59" s="633"/>
      <c r="I59" s="633"/>
      <c r="J59" s="633"/>
      <c r="K59" s="633"/>
      <c r="L59" s="634"/>
      <c r="M59" s="1210">
        <f>'[7]Админ. расх. (2)'!AA50</f>
        <v>424.02907300071627</v>
      </c>
      <c r="N59" s="1210">
        <f t="shared" si="3"/>
        <v>-424.02907300071627</v>
      </c>
      <c r="O59" s="3253"/>
      <c r="P59" s="1210"/>
      <c r="Q59" s="1210"/>
    </row>
    <row r="60" spans="1:17" ht="15.75" thickBot="1">
      <c r="A60" s="3252" t="s">
        <v>1721</v>
      </c>
      <c r="B60" s="192" t="s">
        <v>1689</v>
      </c>
      <c r="C60" s="384" t="s">
        <v>11</v>
      </c>
      <c r="D60" s="633"/>
      <c r="E60" s="633"/>
      <c r="F60" s="633"/>
      <c r="G60" s="633"/>
      <c r="H60" s="633"/>
      <c r="I60" s="633"/>
      <c r="J60" s="633"/>
      <c r="K60" s="633"/>
      <c r="L60" s="634"/>
      <c r="M60" s="1210">
        <f>'[7]Админ. расх. (2)'!AA51</f>
        <v>669.15702799999997</v>
      </c>
      <c r="N60" s="1210">
        <f t="shared" si="3"/>
        <v>-669.15702799999997</v>
      </c>
      <c r="O60" s="3253"/>
      <c r="P60" s="1210"/>
      <c r="Q60" s="1210"/>
    </row>
    <row r="61" spans="1:17" ht="27" customHeight="1" thickTop="1" thickBot="1">
      <c r="A61" s="1221" t="s">
        <v>1418</v>
      </c>
      <c r="B61" s="142" t="s">
        <v>98</v>
      </c>
      <c r="C61" s="144" t="s">
        <v>11</v>
      </c>
      <c r="D61" s="631">
        <v>11860.32</v>
      </c>
      <c r="E61" s="631">
        <v>10481.73</v>
      </c>
      <c r="F61" s="631">
        <v>8120.71</v>
      </c>
      <c r="G61" s="631">
        <v>15396.75</v>
      </c>
      <c r="H61" s="631">
        <f>'[7]Админ. расх. (2)'!O53*0.59</f>
        <v>3908.5612000000001</v>
      </c>
      <c r="I61" s="631">
        <f>'[7]Админ. расх. (2)'!P53*0.59</f>
        <v>7817.1224000000002</v>
      </c>
      <c r="J61" s="144">
        <f>'[7]Админ. расх. (2)'!R53</f>
        <v>0</v>
      </c>
      <c r="K61" s="144">
        <f>'[7]Админ. расх. (2)'!U53</f>
        <v>0</v>
      </c>
      <c r="L61" s="144">
        <f>'[7]Админ. расх. (2)'!X53</f>
        <v>0</v>
      </c>
      <c r="M61" s="631">
        <f>'[7]Админ. расх. (2)'!AA53</f>
        <v>7795.0615399999988</v>
      </c>
      <c r="N61" s="631">
        <f t="shared" si="3"/>
        <v>-7795.0615399999988</v>
      </c>
      <c r="O61" s="3253"/>
      <c r="P61" s="631"/>
      <c r="Q61" s="3249">
        <f t="shared" si="5"/>
        <v>-2.822120323970001E-3</v>
      </c>
    </row>
    <row r="62" spans="1:17" ht="19.5" customHeight="1" thickTop="1">
      <c r="A62" s="1121"/>
      <c r="B62" s="219" t="s">
        <v>1523</v>
      </c>
      <c r="C62" s="384" t="s">
        <v>11</v>
      </c>
      <c r="D62" s="635"/>
      <c r="E62" s="635"/>
      <c r="F62" s="633"/>
      <c r="G62" s="633"/>
      <c r="H62" s="633">
        <f>'[7]Админ. расх. (2)'!O56</f>
        <v>2892.32</v>
      </c>
      <c r="I62" s="633">
        <f>'[7]Админ. расх. (2)'!P56</f>
        <v>5784.64</v>
      </c>
      <c r="J62" s="633">
        <f>'[7]Админ. расх. (2)'!R56</f>
        <v>11569.278599999998</v>
      </c>
      <c r="K62" s="633">
        <f>'[7]Админ. расх. (2)'!U56</f>
        <v>12066.757579799998</v>
      </c>
      <c r="L62" s="633">
        <f>'[7]Админ. расх. (2)'!X56</f>
        <v>12585.628155731396</v>
      </c>
      <c r="M62" s="590">
        <v>0</v>
      </c>
      <c r="N62" s="590"/>
      <c r="O62" s="3254"/>
      <c r="P62" s="590"/>
      <c r="Q62" s="590"/>
    </row>
    <row r="63" spans="1:17" ht="30.75" thickBot="1">
      <c r="A63" s="385" t="s">
        <v>99</v>
      </c>
      <c r="B63" s="386" t="s">
        <v>100</v>
      </c>
      <c r="C63" s="386" t="s">
        <v>11</v>
      </c>
      <c r="D63" s="636">
        <f t="shared" ref="D63:K63" si="20">D64</f>
        <v>0</v>
      </c>
      <c r="E63" s="636">
        <f t="shared" si="20"/>
        <v>7824.9219999999996</v>
      </c>
      <c r="F63" s="636">
        <f t="shared" si="20"/>
        <v>7440.5519999999997</v>
      </c>
      <c r="G63" s="636">
        <f t="shared" si="20"/>
        <v>8177.0434899999991</v>
      </c>
      <c r="H63" s="636">
        <f t="shared" si="20"/>
        <v>4088.5217449999996</v>
      </c>
      <c r="I63" s="636">
        <f t="shared" si="20"/>
        <v>8177.0434899999991</v>
      </c>
      <c r="J63" s="636">
        <f t="shared" si="20"/>
        <v>8528.6563600699992</v>
      </c>
      <c r="K63" s="636">
        <f t="shared" si="20"/>
        <v>8895.3885835530091</v>
      </c>
      <c r="L63" s="636">
        <f>K63</f>
        <v>8895.3885835530091</v>
      </c>
      <c r="M63" s="636">
        <f>'[7]расшифровки ВС_2016'!M468</f>
        <v>7824.9219999999996</v>
      </c>
      <c r="N63" s="636">
        <f t="shared" si="3"/>
        <v>703.73436006999964</v>
      </c>
      <c r="O63" s="3255" t="s">
        <v>1818</v>
      </c>
      <c r="P63" s="636">
        <f t="shared" si="4"/>
        <v>0</v>
      </c>
      <c r="Q63" s="3256">
        <f t="shared" si="5"/>
        <v>-4.3062200956937802E-2</v>
      </c>
    </row>
    <row r="64" spans="1:17" ht="26.25" thickBot="1">
      <c r="A64" s="1225" t="s">
        <v>101</v>
      </c>
      <c r="B64" s="196" t="s">
        <v>102</v>
      </c>
      <c r="C64" s="197" t="s">
        <v>11</v>
      </c>
      <c r="D64" s="637">
        <v>0</v>
      </c>
      <c r="E64" s="637">
        <f>'[7]расшифровки ВС_2016'!E468</f>
        <v>7824.9219999999996</v>
      </c>
      <c r="F64" s="637">
        <f>'[7]расшифровки ВС_2016'!F468</f>
        <v>7440.5519999999997</v>
      </c>
      <c r="G64" s="647">
        <f>'[7]сбытовые расходы'!H9/1000</f>
        <v>8177.0434899999991</v>
      </c>
      <c r="H64" s="647">
        <f>G64/2</f>
        <v>4088.5217449999996</v>
      </c>
      <c r="I64" s="647">
        <f>'[7]сбытовые расходы'!H9/1000</f>
        <v>8177.0434899999991</v>
      </c>
      <c r="J64" s="647">
        <f>'[7]сбытовые расходы'!I9/1000</f>
        <v>8528.6563600699992</v>
      </c>
      <c r="K64" s="647">
        <f>'[7]сбытовые расходы'!J9/1000</f>
        <v>8895.3885835530091</v>
      </c>
      <c r="L64" s="647">
        <f>K64</f>
        <v>8895.3885835530091</v>
      </c>
      <c r="M64" s="594">
        <f>'[7]расшифровки ВС_2016'!M468</f>
        <v>7824.9219999999996</v>
      </c>
      <c r="N64" s="594">
        <f t="shared" si="3"/>
        <v>703.73436006999964</v>
      </c>
      <c r="O64" s="3257"/>
      <c r="P64" s="594">
        <f t="shared" si="4"/>
        <v>0</v>
      </c>
      <c r="Q64" s="594">
        <f t="shared" si="5"/>
        <v>-4.3062200956937802E-2</v>
      </c>
    </row>
    <row r="65" spans="1:17" ht="15.75" thickBot="1">
      <c r="A65" s="24" t="s">
        <v>103</v>
      </c>
      <c r="B65" s="7" t="s">
        <v>104</v>
      </c>
      <c r="C65" s="7" t="s">
        <v>11</v>
      </c>
      <c r="D65" s="638">
        <f t="shared" ref="D65:O65" si="21">D66</f>
        <v>25979.78</v>
      </c>
      <c r="E65" s="638">
        <f t="shared" si="21"/>
        <v>28576.016</v>
      </c>
      <c r="F65" s="638">
        <f t="shared" si="21"/>
        <v>34140.699999999997</v>
      </c>
      <c r="G65" s="638">
        <f t="shared" si="21"/>
        <v>42352.256296799991</v>
      </c>
      <c r="H65" s="638">
        <f t="shared" si="21"/>
        <v>18039.246000000003</v>
      </c>
      <c r="I65" s="638">
        <f t="shared" si="21"/>
        <v>36258.884460000001</v>
      </c>
      <c r="J65" s="638">
        <f t="shared" si="21"/>
        <v>43393.107324999997</v>
      </c>
      <c r="K65" s="638">
        <f t="shared" si="21"/>
        <v>73502.179965000003</v>
      </c>
      <c r="L65" s="638">
        <f t="shared" si="21"/>
        <v>100250.80497499999</v>
      </c>
      <c r="M65" s="638">
        <f>'[7]расшифровки ВС_2016'!M395</f>
        <v>49381.307484999998</v>
      </c>
      <c r="N65" s="638">
        <f t="shared" si="3"/>
        <v>-5988.2001600000003</v>
      </c>
      <c r="O65" s="3258">
        <f t="shared" si="21"/>
        <v>0</v>
      </c>
      <c r="P65" s="638">
        <f t="shared" si="4"/>
        <v>0.72806830332821759</v>
      </c>
      <c r="Q65" s="3259">
        <f t="shared" si="5"/>
        <v>0.36190917675573719</v>
      </c>
    </row>
    <row r="66" spans="1:17" ht="51.75" thickBot="1">
      <c r="A66" s="1222" t="s">
        <v>105</v>
      </c>
      <c r="B66" s="196" t="s">
        <v>1723</v>
      </c>
      <c r="C66" s="197" t="s">
        <v>11</v>
      </c>
      <c r="D66" s="637">
        <v>25979.78</v>
      </c>
      <c r="E66" s="637">
        <f>'[7]расшифровки ВС_2016'!E384+'[7]расшифровки ВС_2016'!E385+'[7]расшифровки ВС_2016'!E386</f>
        <v>28576.016</v>
      </c>
      <c r="F66" s="637">
        <f>'[7]расшифровки ВС_2016'!F383</f>
        <v>34140.699999999997</v>
      </c>
      <c r="G66" s="637">
        <f>'[7]расшифровки ВС_2016'!G384+'[7]расшифровки ВС_2016'!G385+'[7]расшифровки ВС_2016'!G386+'[7]расшифровки ВС_2016'!G388</f>
        <v>42352.256296799991</v>
      </c>
      <c r="H66" s="637">
        <f>'[7]расшифровки ВС_2016'!H384+'[7]расшифровки ВС_2016'!H385+'[7]расшифровки ВС_2016'!H386</f>
        <v>18039.246000000003</v>
      </c>
      <c r="I66" s="637">
        <f>'[7]расшифровки ВС_2016'!I384+'[7]расшифровки ВС_2016'!I385+'[7]расшифровки ВС_2016'!I386</f>
        <v>36258.884460000001</v>
      </c>
      <c r="J66" s="637">
        <f>'[7]расшифровки ВС_2016'!J384+'[7]расшифровки ВС_2016'!J385+'[7]расшифровки ВС_2016'!J386</f>
        <v>43393.107324999997</v>
      </c>
      <c r="K66" s="637">
        <f>'[7]расшифровки ВС_2016'!K384+'[7]расшифровки ВС_2016'!K385+'[7]расшифровки ВС_2016'!K386</f>
        <v>73502.179965000003</v>
      </c>
      <c r="L66" s="637">
        <f>'[7]расшифровки ВС_2016'!L384+'[7]расшифровки ВС_2016'!L385+'[7]расшифровки ВС_2016'!L386</f>
        <v>100250.80497499999</v>
      </c>
      <c r="M66" s="598">
        <f>'[7]расшифровки ВС_2016'!M383</f>
        <v>49381.307484999998</v>
      </c>
      <c r="N66" s="598">
        <f t="shared" si="3"/>
        <v>-5988.2001600000003</v>
      </c>
      <c r="O66" s="3260"/>
      <c r="P66" s="598">
        <f t="shared" si="4"/>
        <v>0.72806830332821759</v>
      </c>
      <c r="Q66" s="598">
        <f t="shared" si="5"/>
        <v>0.36190917675573719</v>
      </c>
    </row>
    <row r="67" spans="1:17" ht="45.75" hidden="1" customHeight="1" thickBot="1">
      <c r="A67" s="29" t="s">
        <v>106</v>
      </c>
      <c r="B67" s="31" t="s">
        <v>107</v>
      </c>
      <c r="C67" s="30" t="s">
        <v>11</v>
      </c>
      <c r="D67" s="638">
        <v>0</v>
      </c>
      <c r="E67" s="638">
        <f t="shared" ref="E67:L67" si="22">E68+E69+E70+E71</f>
        <v>0</v>
      </c>
      <c r="F67" s="638">
        <f t="shared" si="22"/>
        <v>0</v>
      </c>
      <c r="G67" s="638">
        <f t="shared" si="22"/>
        <v>0</v>
      </c>
      <c r="H67" s="638">
        <f t="shared" si="22"/>
        <v>0</v>
      </c>
      <c r="I67" s="638">
        <f t="shared" si="22"/>
        <v>0</v>
      </c>
      <c r="J67" s="638">
        <f t="shared" si="22"/>
        <v>0</v>
      </c>
      <c r="K67" s="638">
        <f t="shared" si="22"/>
        <v>0</v>
      </c>
      <c r="L67" s="638">
        <f t="shared" si="22"/>
        <v>0</v>
      </c>
      <c r="M67" s="596"/>
      <c r="N67" s="596">
        <f t="shared" si="3"/>
        <v>0</v>
      </c>
      <c r="O67" s="3261"/>
      <c r="P67" s="596" t="e">
        <f t="shared" si="4"/>
        <v>#DIV/0!</v>
      </c>
      <c r="Q67" s="596" t="e">
        <f t="shared" si="5"/>
        <v>#DIV/0!</v>
      </c>
    </row>
    <row r="68" spans="1:17" ht="15.75" hidden="1" customHeight="1" thickBot="1">
      <c r="A68" s="1223" t="s">
        <v>108</v>
      </c>
      <c r="B68" s="139" t="s">
        <v>109</v>
      </c>
      <c r="C68" s="199" t="s">
        <v>11</v>
      </c>
      <c r="D68" s="639"/>
      <c r="E68" s="639">
        <f>'[7]расшифровки ВС_2016'!E403</f>
        <v>0</v>
      </c>
      <c r="F68" s="639"/>
      <c r="G68" s="639"/>
      <c r="H68" s="639"/>
      <c r="I68" s="639"/>
      <c r="J68" s="639"/>
      <c r="K68" s="639"/>
      <c r="L68" s="640"/>
      <c r="M68" s="600"/>
      <c r="N68" s="600">
        <f t="shared" si="3"/>
        <v>0</v>
      </c>
      <c r="O68" s="3262"/>
      <c r="P68" s="600" t="e">
        <f t="shared" si="4"/>
        <v>#DIV/0!</v>
      </c>
      <c r="Q68" s="600" t="e">
        <f t="shared" si="5"/>
        <v>#DIV/0!</v>
      </c>
    </row>
    <row r="69" spans="1:17" ht="16.5" hidden="1" customHeight="1" thickTop="1" thickBot="1">
      <c r="A69" s="1221" t="s">
        <v>110</v>
      </c>
      <c r="B69" s="142" t="s">
        <v>111</v>
      </c>
      <c r="C69" s="200" t="s">
        <v>11</v>
      </c>
      <c r="D69" s="641">
        <f>'[7]расшифровки ВС_2016'!D410</f>
        <v>0</v>
      </c>
      <c r="E69" s="641">
        <f>'[7]расшифровки ВС_2016'!E410</f>
        <v>0</v>
      </c>
      <c r="F69" s="641"/>
      <c r="G69" s="641"/>
      <c r="H69" s="641"/>
      <c r="I69" s="641"/>
      <c r="J69" s="641"/>
      <c r="K69" s="641"/>
      <c r="L69" s="642"/>
      <c r="M69" s="586"/>
      <c r="N69" s="586">
        <f t="shared" si="3"/>
        <v>0</v>
      </c>
      <c r="O69" s="3247"/>
      <c r="P69" s="586" t="e">
        <f t="shared" si="4"/>
        <v>#DIV/0!</v>
      </c>
      <c r="Q69" s="586" t="e">
        <f t="shared" si="5"/>
        <v>#DIV/0!</v>
      </c>
    </row>
    <row r="70" spans="1:17" ht="16.5" hidden="1" customHeight="1" thickTop="1" thickBot="1">
      <c r="A70" s="1221" t="s">
        <v>112</v>
      </c>
      <c r="B70" s="142" t="s">
        <v>113</v>
      </c>
      <c r="C70" s="200" t="s">
        <v>11</v>
      </c>
      <c r="D70" s="641">
        <f>'[7]расшифровки ВС_2016'!D414</f>
        <v>0</v>
      </c>
      <c r="E70" s="641">
        <f>'[7]расшифровки ВС_2016'!E414</f>
        <v>0</v>
      </c>
      <c r="F70" s="641"/>
      <c r="G70" s="641"/>
      <c r="H70" s="641"/>
      <c r="I70" s="641"/>
      <c r="J70" s="641"/>
      <c r="K70" s="641"/>
      <c r="L70" s="642"/>
      <c r="M70" s="586"/>
      <c r="N70" s="586">
        <f t="shared" si="3"/>
        <v>0</v>
      </c>
      <c r="O70" s="3247"/>
      <c r="P70" s="586" t="e">
        <f t="shared" si="4"/>
        <v>#DIV/0!</v>
      </c>
      <c r="Q70" s="586" t="e">
        <f t="shared" si="5"/>
        <v>#DIV/0!</v>
      </c>
    </row>
    <row r="71" spans="1:17" ht="16.5" hidden="1" customHeight="1" thickTop="1" thickBot="1">
      <c r="A71" s="1224" t="s">
        <v>114</v>
      </c>
      <c r="B71" s="196" t="s">
        <v>115</v>
      </c>
      <c r="C71" s="202" t="s">
        <v>11</v>
      </c>
      <c r="D71" s="643">
        <f>'[7]расшифровки ВС_2016'!D419</f>
        <v>0</v>
      </c>
      <c r="E71" s="643">
        <f>'[7]расшифровки ВС_2016'!E419</f>
        <v>0</v>
      </c>
      <c r="F71" s="643"/>
      <c r="G71" s="643"/>
      <c r="H71" s="643"/>
      <c r="I71" s="643"/>
      <c r="J71" s="644"/>
      <c r="K71" s="644"/>
      <c r="L71" s="645"/>
      <c r="M71" s="602"/>
      <c r="N71" s="602">
        <f t="shared" si="3"/>
        <v>0</v>
      </c>
      <c r="O71" s="3263"/>
      <c r="P71" s="602" t="e">
        <f t="shared" si="4"/>
        <v>#DIV/0!</v>
      </c>
      <c r="Q71" s="602" t="e">
        <f t="shared" si="5"/>
        <v>#DIV/0!</v>
      </c>
    </row>
    <row r="72" spans="1:17" ht="30.75" thickBot="1">
      <c r="A72" s="170" t="s">
        <v>116</v>
      </c>
      <c r="B72" s="31" t="s">
        <v>117</v>
      </c>
      <c r="C72" s="171" t="s">
        <v>11</v>
      </c>
      <c r="D72" s="646">
        <f>SUM(D73:D78)</f>
        <v>17382.400000000001</v>
      </c>
      <c r="E72" s="646">
        <f t="shared" ref="E72:G72" si="23">SUM(E73:E78)</f>
        <v>22920.437679999999</v>
      </c>
      <c r="F72" s="646">
        <f t="shared" si="23"/>
        <v>17728.989999999998</v>
      </c>
      <c r="G72" s="646">
        <f t="shared" si="23"/>
        <v>24540.357973999999</v>
      </c>
      <c r="H72" s="646">
        <f>[7]налоги!H105</f>
        <v>15252.868548799999</v>
      </c>
      <c r="I72" s="646">
        <f>[7]налоги!I105</f>
        <v>35336.068207600001</v>
      </c>
      <c r="J72" s="646">
        <f>[7]налоги!J105</f>
        <v>45137.258926720002</v>
      </c>
      <c r="K72" s="646">
        <f>[7]налоги!K105</f>
        <v>41306.536912412157</v>
      </c>
      <c r="L72" s="646">
        <f>[7]налоги!L105</f>
        <v>65263.293838742487</v>
      </c>
      <c r="M72" s="646">
        <f>M73+M74+M75+M76+M77+M78</f>
        <v>25781.898009295997</v>
      </c>
      <c r="N72" s="646">
        <f t="shared" si="3"/>
        <v>19355.360917424005</v>
      </c>
      <c r="O72" s="3264"/>
      <c r="P72" s="646">
        <f t="shared" si="4"/>
        <v>0.12484318010178574</v>
      </c>
      <c r="Q72" s="3265">
        <f t="shared" si="5"/>
        <v>-0.27038011535898931</v>
      </c>
    </row>
    <row r="73" spans="1:17" ht="46.5" thickTop="1" thickBot="1">
      <c r="A73" s="1221" t="s">
        <v>118</v>
      </c>
      <c r="B73" s="203" t="s">
        <v>119</v>
      </c>
      <c r="C73" s="200" t="s">
        <v>11</v>
      </c>
      <c r="D73" s="641">
        <v>10000</v>
      </c>
      <c r="E73" s="641">
        <f>'[7]расшифровки ВС_2016'!E430</f>
        <v>10393.487879999999</v>
      </c>
      <c r="F73" s="641">
        <f>'[7]расшифровки ВС_2016'!F430</f>
        <v>12436</v>
      </c>
      <c r="G73" s="641">
        <f>'[7]расшифровки ВС_2016'!G430</f>
        <v>10913.162274</v>
      </c>
      <c r="H73" s="641">
        <f>[7]налоги!H97</f>
        <v>6305.6802239999997</v>
      </c>
      <c r="I73" s="641">
        <f>[7]налоги!I97</f>
        <v>17441.691557999999</v>
      </c>
      <c r="J73" s="641">
        <f>[7]налоги!J97</f>
        <v>26832.239810624</v>
      </c>
      <c r="K73" s="641">
        <f>[7]налоги!K97</f>
        <v>21796.254630155203</v>
      </c>
      <c r="L73" s="641">
        <f>[7]налоги!L97</f>
        <v>44411.338733662968</v>
      </c>
      <c r="M73" s="586">
        <f>'[7]расшифровки ВС_2016'!M430</f>
        <v>10913.162274</v>
      </c>
      <c r="N73" s="586">
        <f t="shared" si="3"/>
        <v>15919.077536624</v>
      </c>
      <c r="O73" s="3266" t="s">
        <v>1819</v>
      </c>
      <c r="P73" s="586">
        <f t="shared" si="4"/>
        <v>5.0000000000000044E-2</v>
      </c>
      <c r="Q73" s="598">
        <f t="shared" si="5"/>
        <v>-0.37430597039801172</v>
      </c>
    </row>
    <row r="74" spans="1:17" ht="27" thickTop="1" thickBot="1">
      <c r="A74" s="1221" t="s">
        <v>120</v>
      </c>
      <c r="B74" s="204" t="s">
        <v>121</v>
      </c>
      <c r="C74" s="200" t="s">
        <v>11</v>
      </c>
      <c r="D74" s="641">
        <v>2100</v>
      </c>
      <c r="E74" s="641">
        <f>'[7]расшифровки ВС_2016'!E431</f>
        <v>0</v>
      </c>
      <c r="F74" s="641"/>
      <c r="G74" s="641">
        <f>'[7]расшифровки ВС_2016'!G431</f>
        <v>0</v>
      </c>
      <c r="H74" s="641">
        <f>'[7]расшифровки ВС_2016'!H431</f>
        <v>0</v>
      </c>
      <c r="I74" s="641">
        <f>'[7]расшифровки ВС_2016'!I431</f>
        <v>0</v>
      </c>
      <c r="J74" s="641">
        <f>'[7]расшифровки ВС_2016'!J431</f>
        <v>0</v>
      </c>
      <c r="K74" s="641">
        <f>'[7]расшифровки ВС_2016'!K431</f>
        <v>0</v>
      </c>
      <c r="L74" s="641">
        <f>'[7]расшифровки ВС_2016'!L431</f>
        <v>0</v>
      </c>
      <c r="M74" s="586"/>
      <c r="N74" s="586">
        <f t="shared" si="3"/>
        <v>0</v>
      </c>
      <c r="O74" s="3267"/>
      <c r="P74" s="586"/>
      <c r="Q74" s="586"/>
    </row>
    <row r="75" spans="1:17" ht="27" thickTop="1" thickBot="1">
      <c r="A75" s="1221" t="s">
        <v>122</v>
      </c>
      <c r="B75" s="204" t="s">
        <v>123</v>
      </c>
      <c r="C75" s="200" t="s">
        <v>11</v>
      </c>
      <c r="D75" s="641">
        <v>2300</v>
      </c>
      <c r="E75" s="641">
        <f>'[7]расшифровки ВС_2016'!E432+'[7]расшифровки ВС_2016'!E433</f>
        <v>6413.2400000000007</v>
      </c>
      <c r="F75" s="641">
        <f>'[7]расшифровки ВС_2016'!F433</f>
        <v>4281.99</v>
      </c>
      <c r="G75" s="641">
        <f>'[7]расшифровки ВС_2016'!G432+'[7]расшифровки ВС_2016'!G433</f>
        <v>7493.9863999999998</v>
      </c>
      <c r="H75" s="641">
        <f>'[7]расшифровки ВС_2016'!H432+'[7]расшифровки ВС_2016'!H433</f>
        <v>4188.0650000000005</v>
      </c>
      <c r="I75" s="641">
        <f>'[7]расшифровки ВС_2016'!I432+'[7]расшифровки ВС_2016'!I433</f>
        <v>8376.130000000001</v>
      </c>
      <c r="J75" s="641">
        <f>'[7]расшифровки ВС_2016'!J432+'[7]расшифровки ВС_2016'!J433</f>
        <v>8691.59</v>
      </c>
      <c r="K75" s="641">
        <f>'[7]расшифровки ВС_2016'!K432+'[7]расшифровки ВС_2016'!K433</f>
        <v>9800.7188750000005</v>
      </c>
      <c r="L75" s="641">
        <f>'[7]расшифровки ВС_2016'!L432+'[7]расшифровки ВС_2016'!L433</f>
        <v>11045.29606375</v>
      </c>
      <c r="M75" s="586">
        <f>'[7]расшифровки ВС_2016'!M432+'[7]расшифровки ВС_2016'!M433</f>
        <v>8691.59</v>
      </c>
      <c r="N75" s="586">
        <f t="shared" ref="N75:N84" si="24">J75-M75</f>
        <v>0</v>
      </c>
      <c r="O75" s="3267"/>
      <c r="P75" s="586">
        <f t="shared" ref="P75:P105" si="25">M75/E75-1</f>
        <v>0.35525724906599465</v>
      </c>
      <c r="Q75" s="598">
        <f t="shared" ref="Q75:Q105" si="26">M75/I75-1</f>
        <v>3.7661784141363563E-2</v>
      </c>
    </row>
    <row r="76" spans="1:17" ht="16.5" thickTop="1" thickBot="1">
      <c r="A76" s="1221" t="s">
        <v>124</v>
      </c>
      <c r="B76" s="203" t="s">
        <v>756</v>
      </c>
      <c r="C76" s="200" t="s">
        <v>11</v>
      </c>
      <c r="D76" s="641">
        <v>2700</v>
      </c>
      <c r="E76" s="641">
        <f>'[7]расшифровки ВС_2016'!E436</f>
        <v>5723.7197999999989</v>
      </c>
      <c r="F76" s="641">
        <f>'[7]расшифровки ВС_2016'!F436</f>
        <v>702</v>
      </c>
      <c r="G76" s="641">
        <f>'[7]расшифровки ВС_2016'!G436</f>
        <v>5723.7197999999989</v>
      </c>
      <c r="H76" s="641">
        <f>'[7]расшифровки ВС_2016'!H436</f>
        <v>4534.6550399999996</v>
      </c>
      <c r="I76" s="641">
        <f>'[7]расшифровки ВС_2016'!I436</f>
        <v>9069.3100799999993</v>
      </c>
      <c r="J76" s="641">
        <f>'[7]расшифровки ВС_2016'!J436</f>
        <v>9160.0031807999985</v>
      </c>
      <c r="K76" s="641">
        <f>'[7]расшифровки ВС_2016'!K436</f>
        <v>9251.603212607999</v>
      </c>
      <c r="L76" s="641">
        <f>'[7]расшифровки ВС_2016'!L436</f>
        <v>9344.11924473408</v>
      </c>
      <c r="M76" s="586">
        <f>'[7]расшифровки ВС_2016'!M436</f>
        <v>5723.7197999999989</v>
      </c>
      <c r="N76" s="586">
        <f t="shared" si="24"/>
        <v>3436.2833807999996</v>
      </c>
      <c r="O76" s="3247"/>
      <c r="P76" s="586">
        <f t="shared" si="25"/>
        <v>0</v>
      </c>
      <c r="Q76" s="598">
        <f t="shared" si="26"/>
        <v>-0.36889137657536131</v>
      </c>
    </row>
    <row r="77" spans="1:17" ht="16.5" thickTop="1" thickBot="1">
      <c r="A77" s="1221" t="s">
        <v>126</v>
      </c>
      <c r="B77" s="203" t="s">
        <v>127</v>
      </c>
      <c r="C77" s="200" t="s">
        <v>11</v>
      </c>
      <c r="D77" s="641">
        <v>282.39999999999998</v>
      </c>
      <c r="E77" s="641">
        <f>'[7]расшифровки ВС_2016'!E437</f>
        <v>389.98999999999995</v>
      </c>
      <c r="F77" s="641">
        <f>'[7]расшифровки ВС_2016'!F437</f>
        <v>309</v>
      </c>
      <c r="G77" s="641">
        <f>'[7]расшифровки ВС_2016'!G437</f>
        <v>409.48950000000002</v>
      </c>
      <c r="H77" s="641">
        <f>'[7]расшифровки ВС_2016'!H437</f>
        <v>224.46828479999999</v>
      </c>
      <c r="I77" s="641">
        <f>'[7]расшифровки ВС_2016'!I437</f>
        <v>448.93656959999998</v>
      </c>
      <c r="J77" s="641">
        <f>'[7]расшифровки ВС_2016'!J437</f>
        <v>453.42593529599998</v>
      </c>
      <c r="K77" s="641">
        <f>'[7]расшифровки ВС_2016'!K437</f>
        <v>457.96019464896</v>
      </c>
      <c r="L77" s="641">
        <f>'[7]расшифровки ВС_2016'!L437</f>
        <v>462.53979659544956</v>
      </c>
      <c r="M77" s="586">
        <f>'[7]расшифровки ВС_2016'!M437</f>
        <v>453.42593529599998</v>
      </c>
      <c r="N77" s="586">
        <f t="shared" si="24"/>
        <v>0</v>
      </c>
      <c r="O77" s="3247"/>
      <c r="P77" s="586">
        <f t="shared" si="25"/>
        <v>0.16266041512859308</v>
      </c>
      <c r="Q77" s="598">
        <f t="shared" si="26"/>
        <v>1.0000000000000009E-2</v>
      </c>
    </row>
    <row r="78" spans="1:17" ht="59.25" customHeight="1" thickTop="1" thickBot="1">
      <c r="A78" s="1225" t="s">
        <v>128</v>
      </c>
      <c r="B78" s="205" t="s">
        <v>129</v>
      </c>
      <c r="C78" s="206" t="s">
        <v>11</v>
      </c>
      <c r="D78" s="647"/>
      <c r="E78" s="647">
        <f>'[7]расшифровки ВС_2016'!E441</f>
        <v>0</v>
      </c>
      <c r="F78" s="647"/>
      <c r="G78" s="647">
        <f>'[7]расшифровки ВС_2016'!G441</f>
        <v>0</v>
      </c>
      <c r="H78" s="647">
        <f>'[7]расшифровки ВС_2016'!H441</f>
        <v>0</v>
      </c>
      <c r="I78" s="647">
        <f>'[7]расшифровки ВС_2016'!I441</f>
        <v>0</v>
      </c>
      <c r="J78" s="647">
        <f>'[7]расшифровки ВС_2016'!J441</f>
        <v>0</v>
      </c>
      <c r="K78" s="647"/>
      <c r="L78" s="647" t="s">
        <v>1012</v>
      </c>
      <c r="M78" s="605"/>
      <c r="N78" s="605">
        <f t="shared" si="24"/>
        <v>0</v>
      </c>
      <c r="O78" s="3268"/>
      <c r="P78" s="605"/>
      <c r="Q78" s="605"/>
    </row>
    <row r="79" spans="1:17" ht="27.75" customHeight="1" thickBot="1">
      <c r="A79" s="3414" t="s">
        <v>966</v>
      </c>
      <c r="B79" s="1240" t="s">
        <v>964</v>
      </c>
      <c r="C79" s="1242" t="s">
        <v>11</v>
      </c>
      <c r="D79" s="1237">
        <f>702.1+482+1928</f>
        <v>3112.1</v>
      </c>
      <c r="E79" s="1237"/>
      <c r="F79" s="1237"/>
      <c r="G79" s="1237"/>
      <c r="H79" s="1237"/>
      <c r="I79" s="1237"/>
      <c r="J79" s="1237"/>
      <c r="K79" s="1237"/>
      <c r="L79" s="1237"/>
      <c r="M79" s="2865"/>
      <c r="N79" s="2865">
        <f t="shared" si="24"/>
        <v>0</v>
      </c>
      <c r="O79" s="1238"/>
      <c r="P79" s="2865"/>
      <c r="Q79" s="2865"/>
    </row>
    <row r="80" spans="1:17" ht="21" customHeight="1" thickBot="1">
      <c r="A80" s="3415"/>
      <c r="B80" s="1240" t="s">
        <v>965</v>
      </c>
      <c r="C80" s="1242" t="s">
        <v>11</v>
      </c>
      <c r="D80" s="1237">
        <f>24946.2+15845.3+46583.1</f>
        <v>87374.6</v>
      </c>
      <c r="E80" s="1237"/>
      <c r="F80" s="1237"/>
      <c r="G80" s="1237"/>
      <c r="H80" s="1237"/>
      <c r="I80" s="1237"/>
      <c r="J80" s="1237"/>
      <c r="K80" s="1237"/>
      <c r="L80" s="1237"/>
      <c r="M80" s="2865"/>
      <c r="N80" s="2865">
        <f t="shared" si="24"/>
        <v>0</v>
      </c>
      <c r="O80" s="1238"/>
      <c r="P80" s="2865"/>
      <c r="Q80" s="2865"/>
    </row>
    <row r="81" spans="1:17" ht="36" customHeight="1" thickBot="1">
      <c r="A81" s="3203"/>
      <c r="B81" s="1240" t="s">
        <v>1538</v>
      </c>
      <c r="C81" s="1242" t="s">
        <v>11</v>
      </c>
      <c r="D81" s="1237"/>
      <c r="E81" s="1237"/>
      <c r="F81" s="1237"/>
      <c r="G81" s="1237"/>
      <c r="H81" s="1237"/>
      <c r="I81" s="1237">
        <f>22263.075/2+14693.62/2</f>
        <v>18478.3475</v>
      </c>
      <c r="J81" s="1237">
        <f>22263.075+14693.629</f>
        <v>36956.703999999998</v>
      </c>
      <c r="K81" s="1237">
        <f>J81</f>
        <v>36956.703999999998</v>
      </c>
      <c r="L81" s="1237">
        <f>K81</f>
        <v>36956.703999999998</v>
      </c>
      <c r="M81" s="2865"/>
      <c r="N81" s="2865">
        <f t="shared" si="24"/>
        <v>36956.703999999998</v>
      </c>
      <c r="O81" s="1238" t="s">
        <v>1840</v>
      </c>
      <c r="P81" s="2865"/>
      <c r="Q81" s="2865"/>
    </row>
    <row r="82" spans="1:17" ht="30.75" thickBot="1">
      <c r="A82" s="352"/>
      <c r="B82" s="354" t="s">
        <v>510</v>
      </c>
      <c r="C82" s="353" t="s">
        <v>11</v>
      </c>
      <c r="D82" s="648">
        <f t="shared" ref="D82:L82" si="27">D10+D32+D38+D63+D65+D67+D72+D79+D80+D81</f>
        <v>605091.07349926408</v>
      </c>
      <c r="E82" s="648">
        <f t="shared" si="27"/>
        <v>616238.9127977083</v>
      </c>
      <c r="F82" s="648">
        <f t="shared" si="27"/>
        <v>623420.17902120983</v>
      </c>
      <c r="G82" s="648">
        <f t="shared" si="27"/>
        <v>689494.32948387112</v>
      </c>
      <c r="H82" s="648">
        <f t="shared" si="27"/>
        <v>322043.42056225106</v>
      </c>
      <c r="I82" s="648">
        <f t="shared" si="27"/>
        <v>717517.09298439615</v>
      </c>
      <c r="J82" s="648">
        <f t="shared" si="27"/>
        <v>847909.498668154</v>
      </c>
      <c r="K82" s="648">
        <f t="shared" si="27"/>
        <v>885732.14765798079</v>
      </c>
      <c r="L82" s="648">
        <f t="shared" si="27"/>
        <v>943424.7755029127</v>
      </c>
      <c r="M82" s="1184">
        <f>M10+M32+M38+M63+M65+M67+M72</f>
        <v>692247.17927915067</v>
      </c>
      <c r="N82" s="1184">
        <f t="shared" si="24"/>
        <v>155662.31938900333</v>
      </c>
      <c r="O82" s="3269" t="s">
        <v>1820</v>
      </c>
      <c r="P82" s="1184">
        <f t="shared" si="25"/>
        <v>0.12334220527614348</v>
      </c>
      <c r="Q82" s="1184">
        <f t="shared" si="26"/>
        <v>-3.5218552912989698E-2</v>
      </c>
    </row>
    <row r="83" spans="1:17" ht="19.5" hidden="1" customHeight="1" thickBot="1">
      <c r="A83" s="1180"/>
      <c r="B83" s="1181"/>
      <c r="C83" s="1182"/>
      <c r="D83" s="1183"/>
      <c r="E83" s="1183"/>
      <c r="F83" s="1183"/>
      <c r="G83" s="1183"/>
      <c r="H83" s="1183"/>
      <c r="I83" s="1183"/>
      <c r="J83" s="1183"/>
      <c r="K83" s="1183"/>
      <c r="L83" s="1183"/>
      <c r="M83" s="1184"/>
      <c r="N83" s="2865">
        <f t="shared" si="24"/>
        <v>0</v>
      </c>
      <c r="O83" s="3270"/>
      <c r="P83" s="2865" t="e">
        <f t="shared" si="25"/>
        <v>#DIV/0!</v>
      </c>
      <c r="Q83" s="2865" t="e">
        <f t="shared" si="26"/>
        <v>#DIV/0!</v>
      </c>
    </row>
    <row r="84" spans="1:17" ht="19.5" hidden="1" customHeight="1" thickBot="1">
      <c r="A84" s="1180"/>
      <c r="B84" s="1181"/>
      <c r="C84" s="1182"/>
      <c r="D84" s="1183"/>
      <c r="E84" s="1183"/>
      <c r="F84" s="1183"/>
      <c r="G84" s="1183"/>
      <c r="H84" s="1183"/>
      <c r="I84" s="1183"/>
      <c r="J84" s="1183"/>
      <c r="K84" s="1183"/>
      <c r="L84" s="1183"/>
      <c r="M84" s="1184"/>
      <c r="N84" s="2865">
        <f t="shared" si="24"/>
        <v>0</v>
      </c>
      <c r="O84" s="3270"/>
      <c r="P84" s="2865" t="e">
        <f t="shared" si="25"/>
        <v>#DIV/0!</v>
      </c>
      <c r="Q84" s="2865" t="e">
        <f t="shared" si="26"/>
        <v>#DIV/0!</v>
      </c>
    </row>
    <row r="85" spans="1:17" ht="15.75" thickBot="1">
      <c r="A85" s="350" t="s">
        <v>130</v>
      </c>
      <c r="B85" s="351" t="s">
        <v>131</v>
      </c>
      <c r="C85" s="159" t="s">
        <v>11</v>
      </c>
      <c r="D85" s="1179">
        <f>SUM(D87:D92)</f>
        <v>2670.59</v>
      </c>
      <c r="E85" s="1179">
        <f t="shared" ref="E85:L85" si="28">SUM(E87:E92)</f>
        <v>25470.076383931249</v>
      </c>
      <c r="F85" s="1179">
        <f t="shared" si="28"/>
        <v>25341.599999999999</v>
      </c>
      <c r="G85" s="1179">
        <f>SUM(G87:G92)</f>
        <v>27461.082839288119</v>
      </c>
      <c r="H85" s="1179">
        <f>SUM(H87:H92)</f>
        <v>13120.14315682702</v>
      </c>
      <c r="I85" s="1179">
        <f>SUM(I87:I92)</f>
        <v>28911.944227638705</v>
      </c>
      <c r="J85" s="1179">
        <f t="shared" si="28"/>
        <v>33455.896513952823</v>
      </c>
      <c r="K85" s="1179">
        <f t="shared" si="28"/>
        <v>34976.728559918884</v>
      </c>
      <c r="L85" s="1179">
        <f t="shared" si="28"/>
        <v>37188.041167869203</v>
      </c>
      <c r="M85" s="1179">
        <v>14381</v>
      </c>
      <c r="N85" s="1179">
        <f>J85-M85</f>
        <v>19074.896513952823</v>
      </c>
      <c r="O85" s="3271" t="s">
        <v>1821</v>
      </c>
      <c r="P85" s="1179">
        <f t="shared" si="25"/>
        <v>-0.43537664421482491</v>
      </c>
      <c r="Q85" s="3272">
        <f t="shared" si="26"/>
        <v>-0.50259311906626059</v>
      </c>
    </row>
    <row r="86" spans="1:17" ht="15.75" hidden="1" customHeight="1" thickBot="1">
      <c r="A86" s="1189"/>
      <c r="B86" s="1191"/>
      <c r="C86" s="1193"/>
      <c r="D86" s="1194">
        <f>D85*0.2</f>
        <v>534.11800000000005</v>
      </c>
      <c r="E86" s="1194">
        <f t="shared" ref="E86:L86" si="29">E85*0.2</f>
        <v>5094.0152767862501</v>
      </c>
      <c r="F86" s="1194">
        <f t="shared" si="29"/>
        <v>5068.32</v>
      </c>
      <c r="G86" s="1194">
        <f t="shared" si="29"/>
        <v>5492.2165678576239</v>
      </c>
      <c r="H86" s="1194">
        <f t="shared" si="29"/>
        <v>2624.0286313654042</v>
      </c>
      <c r="I86" s="1194">
        <f t="shared" si="29"/>
        <v>5782.3888455277411</v>
      </c>
      <c r="J86" s="1194">
        <f t="shared" si="29"/>
        <v>6691.1793027905651</v>
      </c>
      <c r="K86" s="1194">
        <f t="shared" si="29"/>
        <v>6995.3457119837767</v>
      </c>
      <c r="L86" s="1194">
        <f t="shared" si="29"/>
        <v>7437.6082335738411</v>
      </c>
      <c r="M86" s="1195"/>
      <c r="N86" s="1195">
        <f t="shared" ref="N86:N87" si="30">J86-M86</f>
        <v>6691.1793027905651</v>
      </c>
      <c r="O86" s="3273"/>
      <c r="P86" s="1195">
        <f t="shared" si="25"/>
        <v>-1</v>
      </c>
      <c r="Q86" s="1195">
        <f t="shared" si="26"/>
        <v>-1</v>
      </c>
    </row>
    <row r="87" spans="1:17" ht="15.75" thickBot="1">
      <c r="A87" s="1190" t="s">
        <v>132</v>
      </c>
      <c r="B87" s="1192" t="s">
        <v>505</v>
      </c>
      <c r="C87" s="1197" t="s">
        <v>11</v>
      </c>
      <c r="D87" s="1198"/>
      <c r="E87" s="1198">
        <v>4631.7</v>
      </c>
      <c r="F87" s="1198">
        <v>4223.6000000000004</v>
      </c>
      <c r="G87" s="1198">
        <v>4425.0439547719852</v>
      </c>
      <c r="H87" s="1198">
        <v>2183.8405399594867</v>
      </c>
      <c r="I87" s="1198">
        <v>4836.431438106817</v>
      </c>
      <c r="J87" s="1198">
        <v>5561.5981489082042</v>
      </c>
      <c r="K87" s="1198">
        <v>5842.0991487644578</v>
      </c>
      <c r="L87" s="1198">
        <v>6212.4383271659808</v>
      </c>
      <c r="M87" s="1199">
        <f>M85*0.2</f>
        <v>2876.2000000000003</v>
      </c>
      <c r="N87" s="1199">
        <f t="shared" si="30"/>
        <v>2685.3981489082039</v>
      </c>
      <c r="O87" s="3274"/>
      <c r="P87" s="1199">
        <f t="shared" si="25"/>
        <v>-0.37901850292549166</v>
      </c>
      <c r="Q87" s="1199">
        <f t="shared" si="26"/>
        <v>-0.4053053295994069</v>
      </c>
    </row>
    <row r="88" spans="1:17" ht="26.25" thickBot="1">
      <c r="A88" s="3275" t="s">
        <v>134</v>
      </c>
      <c r="B88" s="1186" t="s">
        <v>133</v>
      </c>
      <c r="C88" s="1187" t="s">
        <v>11</v>
      </c>
      <c r="D88" s="1188">
        <f>'[7]расшифровка кредитов'!B73</f>
        <v>0.59</v>
      </c>
      <c r="E88" s="1188">
        <v>0</v>
      </c>
      <c r="F88" s="1188"/>
      <c r="G88" s="1188"/>
      <c r="H88" s="1188"/>
      <c r="I88" s="1188"/>
      <c r="J88" s="1188"/>
      <c r="K88" s="1188"/>
      <c r="L88" s="1188"/>
      <c r="M88" s="579"/>
      <c r="N88" s="579" t="s">
        <v>1085</v>
      </c>
      <c r="O88" s="3276"/>
      <c r="P88" s="579"/>
      <c r="Q88" s="579"/>
    </row>
    <row r="89" spans="1:17" ht="16.5" thickTop="1" thickBot="1">
      <c r="A89" s="1221" t="s">
        <v>135</v>
      </c>
      <c r="B89" s="1787" t="s">
        <v>136</v>
      </c>
      <c r="C89" s="200" t="s">
        <v>11</v>
      </c>
      <c r="D89" s="641">
        <f>[7]Кап.вложения!E24</f>
        <v>0</v>
      </c>
      <c r="E89" s="641">
        <f>[7]Кап.вложения!F24</f>
        <v>0</v>
      </c>
      <c r="F89" s="641"/>
      <c r="G89" s="641">
        <f>[7]Кап.вложения!H24</f>
        <v>0</v>
      </c>
      <c r="H89" s="641" t="s">
        <v>1492</v>
      </c>
      <c r="I89" s="641"/>
      <c r="J89" s="641">
        <v>0</v>
      </c>
      <c r="K89" s="641">
        <v>0</v>
      </c>
      <c r="L89" s="641">
        <f>[7]Кап.вложения!K24</f>
        <v>0</v>
      </c>
      <c r="M89" s="586">
        <v>0</v>
      </c>
      <c r="N89" s="586"/>
      <c r="O89" s="3247"/>
      <c r="P89" s="586"/>
      <c r="Q89" s="586"/>
    </row>
    <row r="90" spans="1:17" ht="48" customHeight="1" thickTop="1" thickBot="1">
      <c r="A90" s="1231" t="s">
        <v>138</v>
      </c>
      <c r="B90" s="209" t="s">
        <v>137</v>
      </c>
      <c r="C90" s="210" t="s">
        <v>11</v>
      </c>
      <c r="D90" s="641">
        <v>2670</v>
      </c>
      <c r="E90" s="641">
        <f>3985.1*0.59</f>
        <v>2351.2089999999998</v>
      </c>
      <c r="F90" s="641">
        <v>2518</v>
      </c>
      <c r="G90" s="641">
        <f>E90</f>
        <v>2351.2089999999998</v>
      </c>
      <c r="H90" s="641">
        <v>1275</v>
      </c>
      <c r="I90" s="641">
        <f>H90*2</f>
        <v>2550</v>
      </c>
      <c r="J90" s="641">
        <f>G90*1.045</f>
        <v>2457.0134049999997</v>
      </c>
      <c r="K90" s="641">
        <f>J90*1.043</f>
        <v>2562.6649814149996</v>
      </c>
      <c r="L90" s="642">
        <f>K90*1.043</f>
        <v>2672.8595756158443</v>
      </c>
      <c r="M90" s="586">
        <v>2460</v>
      </c>
      <c r="N90" s="586"/>
      <c r="O90" s="3247"/>
      <c r="P90" s="586">
        <f t="shared" si="25"/>
        <v>4.6270237992454222E-2</v>
      </c>
      <c r="Q90" s="586">
        <f t="shared" si="26"/>
        <v>-3.5294117647058809E-2</v>
      </c>
    </row>
    <row r="91" spans="1:17" ht="51" customHeight="1" thickTop="1" thickBot="1">
      <c r="A91" s="1220" t="s">
        <v>139</v>
      </c>
      <c r="B91" s="204" t="s">
        <v>145</v>
      </c>
      <c r="C91" s="210" t="s">
        <v>11</v>
      </c>
      <c r="D91" s="641"/>
      <c r="E91" s="641"/>
      <c r="F91" s="641"/>
      <c r="G91" s="641"/>
      <c r="H91" s="641"/>
      <c r="I91" s="641"/>
      <c r="J91" s="641"/>
      <c r="K91" s="641"/>
      <c r="L91" s="642"/>
      <c r="M91" s="586"/>
      <c r="N91" s="586"/>
      <c r="O91" s="3247"/>
      <c r="P91" s="586"/>
      <c r="Q91" s="586"/>
    </row>
    <row r="92" spans="1:17" ht="37.5" customHeight="1" thickTop="1" thickBot="1">
      <c r="A92" s="1225" t="s">
        <v>139</v>
      </c>
      <c r="B92" s="205" t="s">
        <v>757</v>
      </c>
      <c r="C92" s="211" t="s">
        <v>11</v>
      </c>
      <c r="D92" s="643"/>
      <c r="E92" s="643">
        <f>E82*3/100</f>
        <v>18487.16738393125</v>
      </c>
      <c r="F92" s="643">
        <v>18600</v>
      </c>
      <c r="G92" s="643">
        <f>G82*3/100</f>
        <v>20684.829884516133</v>
      </c>
      <c r="H92" s="643">
        <f>H82*3/100</f>
        <v>9661.3026168675333</v>
      </c>
      <c r="I92" s="643">
        <f>I82*3/100</f>
        <v>21525.512789531887</v>
      </c>
      <c r="J92" s="643">
        <f t="shared" ref="J92:L92" si="31">J82*3/100</f>
        <v>25437.284960044621</v>
      </c>
      <c r="K92" s="643">
        <f t="shared" si="31"/>
        <v>26571.964429739426</v>
      </c>
      <c r="L92" s="643">
        <f t="shared" si="31"/>
        <v>28302.743265087382</v>
      </c>
      <c r="M92" s="607">
        <f>M85-M90</f>
        <v>11921</v>
      </c>
      <c r="N92" s="607"/>
      <c r="O92" s="3277"/>
      <c r="P92" s="607">
        <f t="shared" si="25"/>
        <v>-0.35517433512493957</v>
      </c>
      <c r="Q92" s="607">
        <f t="shared" si="26"/>
        <v>-0.44619205514131477</v>
      </c>
    </row>
    <row r="93" spans="1:17" ht="46.5" customHeight="1" thickBot="1">
      <c r="A93" s="183"/>
      <c r="B93" s="185" t="s">
        <v>142</v>
      </c>
      <c r="C93" s="185" t="s">
        <v>11</v>
      </c>
      <c r="D93" s="648">
        <f>D82+D85</f>
        <v>607761.66349926405</v>
      </c>
      <c r="E93" s="648">
        <f t="shared" ref="E93:L93" si="32">E82+E85</f>
        <v>641708.98918163951</v>
      </c>
      <c r="F93" s="648">
        <f t="shared" si="32"/>
        <v>648761.7790212098</v>
      </c>
      <c r="G93" s="648">
        <f t="shared" si="32"/>
        <v>716955.41232315928</v>
      </c>
      <c r="H93" s="648">
        <f t="shared" si="32"/>
        <v>335163.56371907808</v>
      </c>
      <c r="I93" s="648">
        <f t="shared" si="32"/>
        <v>746429.0372120348</v>
      </c>
      <c r="J93" s="648">
        <f t="shared" si="32"/>
        <v>881365.39518210688</v>
      </c>
      <c r="K93" s="648">
        <f t="shared" si="32"/>
        <v>920708.87621789973</v>
      </c>
      <c r="L93" s="648">
        <f t="shared" si="32"/>
        <v>980612.81667078193</v>
      </c>
      <c r="M93" s="648">
        <f>M82+M85+M87</f>
        <v>709504.37927915063</v>
      </c>
      <c r="N93" s="648">
        <f>N82+N85+N87</f>
        <v>177422.61405186434</v>
      </c>
      <c r="O93" s="3278" t="s">
        <v>1822</v>
      </c>
      <c r="P93" s="648">
        <f t="shared" si="25"/>
        <v>0.10564818514381336</v>
      </c>
      <c r="Q93" s="550">
        <f t="shared" si="26"/>
        <v>-4.946841038071137E-2</v>
      </c>
    </row>
    <row r="94" spans="1:17" ht="26.25" thickBot="1">
      <c r="A94" s="167" t="s">
        <v>141</v>
      </c>
      <c r="B94" s="1788" t="s">
        <v>1298</v>
      </c>
      <c r="C94" s="28" t="s">
        <v>11</v>
      </c>
      <c r="D94" s="646">
        <f>SUM(D95:D97)</f>
        <v>0</v>
      </c>
      <c r="E94" s="646">
        <f t="shared" ref="E94:L94" si="33">SUM(E95:E97)</f>
        <v>0</v>
      </c>
      <c r="F94" s="646">
        <v>6544.98</v>
      </c>
      <c r="G94" s="646">
        <f t="shared" si="33"/>
        <v>0</v>
      </c>
      <c r="H94" s="646">
        <f t="shared" si="33"/>
        <v>0</v>
      </c>
      <c r="I94" s="646">
        <f t="shared" si="33"/>
        <v>0</v>
      </c>
      <c r="J94" s="646">
        <f>'[7]расшифровки ВС_2016'!J460</f>
        <v>6758.2120000000004</v>
      </c>
      <c r="K94" s="646">
        <f t="shared" si="33"/>
        <v>0</v>
      </c>
      <c r="L94" s="646">
        <f t="shared" si="33"/>
        <v>0</v>
      </c>
      <c r="M94" s="549"/>
      <c r="N94" s="549">
        <f t="shared" ref="N94:O94" si="34">SUM(N95:N97)</f>
        <v>0</v>
      </c>
      <c r="O94" s="3279">
        <f t="shared" si="34"/>
        <v>0</v>
      </c>
      <c r="P94" s="549"/>
      <c r="Q94" s="549"/>
    </row>
    <row r="95" spans="1:17" ht="54" customHeight="1" thickBot="1">
      <c r="A95" s="3280" t="s">
        <v>377</v>
      </c>
      <c r="B95" s="721" t="s">
        <v>378</v>
      </c>
      <c r="C95" s="722" t="s">
        <v>11</v>
      </c>
      <c r="D95" s="723"/>
      <c r="E95" s="723"/>
      <c r="F95" s="723">
        <v>6544.98</v>
      </c>
      <c r="G95" s="723"/>
      <c r="H95" s="723"/>
      <c r="I95" s="723"/>
      <c r="J95" s="723"/>
      <c r="K95" s="723"/>
      <c r="L95" s="724"/>
      <c r="M95" s="600"/>
      <c r="N95" s="600"/>
      <c r="O95" s="3262"/>
      <c r="P95" s="600"/>
      <c r="Q95" s="600"/>
    </row>
    <row r="96" spans="1:17" ht="27" thickTop="1" thickBot="1">
      <c r="A96" s="1220" t="s">
        <v>379</v>
      </c>
      <c r="B96" s="204" t="s">
        <v>1055</v>
      </c>
      <c r="C96" s="210" t="s">
        <v>11</v>
      </c>
      <c r="D96" s="641"/>
      <c r="E96" s="641"/>
      <c r="F96" s="641"/>
      <c r="G96" s="641"/>
      <c r="H96" s="641"/>
      <c r="I96" s="641"/>
      <c r="J96" s="641"/>
      <c r="K96" s="641"/>
      <c r="L96" s="642"/>
      <c r="M96" s="586"/>
      <c r="N96" s="586"/>
      <c r="O96" s="3247"/>
      <c r="P96" s="586"/>
      <c r="Q96" s="586"/>
    </row>
    <row r="97" spans="1:27" ht="52.5" thickTop="1" thickBot="1">
      <c r="A97" s="1225" t="s">
        <v>381</v>
      </c>
      <c r="B97" s="205" t="s">
        <v>382</v>
      </c>
      <c r="C97" s="211" t="s">
        <v>11</v>
      </c>
      <c r="D97" s="643"/>
      <c r="E97" s="643"/>
      <c r="F97" s="643"/>
      <c r="G97" s="643"/>
      <c r="H97" s="643"/>
      <c r="I97" s="643"/>
      <c r="J97" s="1330"/>
      <c r="K97" s="1330"/>
      <c r="L97" s="1331"/>
      <c r="M97" s="607"/>
      <c r="N97" s="607"/>
      <c r="O97" s="3277"/>
      <c r="P97" s="607"/>
      <c r="Q97" s="607"/>
    </row>
    <row r="98" spans="1:27" ht="26.25" thickBot="1">
      <c r="A98" s="167" t="s">
        <v>1075</v>
      </c>
      <c r="B98" s="168" t="s">
        <v>1823</v>
      </c>
      <c r="C98" s="28" t="s">
        <v>11</v>
      </c>
      <c r="D98" s="646"/>
      <c r="E98" s="646"/>
      <c r="F98" s="646">
        <f>F99+F100</f>
        <v>-26538.489999999998</v>
      </c>
      <c r="G98" s="646"/>
      <c r="H98" s="646"/>
      <c r="I98" s="646"/>
      <c r="J98" s="646"/>
      <c r="K98" s="646"/>
      <c r="L98" s="646"/>
      <c r="M98" s="549">
        <f>M100+M104</f>
        <v>45021.919999999998</v>
      </c>
      <c r="N98" s="549"/>
      <c r="O98" s="3279"/>
      <c r="P98" s="549"/>
      <c r="Q98" s="549"/>
    </row>
    <row r="99" spans="1:27" ht="50.25" customHeight="1">
      <c r="A99" s="3281" t="s">
        <v>1076</v>
      </c>
      <c r="B99" s="1808" t="s">
        <v>1073</v>
      </c>
      <c r="C99" s="211" t="s">
        <v>11</v>
      </c>
      <c r="D99" s="643"/>
      <c r="E99" s="643"/>
      <c r="F99" s="643">
        <v>-5465.62</v>
      </c>
      <c r="G99" s="643"/>
      <c r="H99" s="643"/>
      <c r="I99" s="643"/>
      <c r="J99" s="643"/>
      <c r="K99" s="643"/>
      <c r="L99" s="1809"/>
      <c r="M99" s="1339">
        <v>0</v>
      </c>
      <c r="N99" s="1339"/>
      <c r="O99" s="3282"/>
      <c r="P99" s="1339"/>
      <c r="Q99" s="1339"/>
    </row>
    <row r="100" spans="1:27" s="1" customFormat="1" ht="51">
      <c r="A100" s="3283" t="s">
        <v>1077</v>
      </c>
      <c r="B100" s="1348" t="s">
        <v>1099</v>
      </c>
      <c r="C100" s="1349" t="s">
        <v>11</v>
      </c>
      <c r="D100" s="1350"/>
      <c r="E100" s="1350"/>
      <c r="F100" s="1350">
        <v>-21072.87</v>
      </c>
      <c r="G100" s="1350"/>
      <c r="H100" s="1350"/>
      <c r="I100" s="1350"/>
      <c r="J100" s="1350"/>
      <c r="K100" s="1350"/>
      <c r="L100" s="1350"/>
      <c r="M100" s="1351">
        <v>43954.63</v>
      </c>
      <c r="N100" s="1351"/>
      <c r="O100" s="3284"/>
      <c r="P100" s="1351"/>
      <c r="Q100" s="1351"/>
      <c r="R100" s="56"/>
      <c r="S100" s="56"/>
      <c r="T100" s="56"/>
      <c r="U100" s="56"/>
      <c r="V100" s="56"/>
      <c r="W100" s="56"/>
      <c r="X100" s="56"/>
      <c r="Y100" s="56"/>
      <c r="Z100" s="56"/>
      <c r="AA100" s="56"/>
    </row>
    <row r="101" spans="1:27" s="56" customFormat="1" ht="25.5">
      <c r="A101" s="1083" t="s">
        <v>1075</v>
      </c>
      <c r="B101" s="181" t="s">
        <v>1824</v>
      </c>
      <c r="C101" s="182" t="s">
        <v>11</v>
      </c>
      <c r="D101" s="1353"/>
      <c r="E101" s="1353"/>
      <c r="F101" s="1353">
        <f>F102+F103+F104</f>
        <v>-11655.22</v>
      </c>
      <c r="G101" s="1353"/>
      <c r="H101" s="1353"/>
      <c r="I101" s="1353"/>
      <c r="J101" s="1353"/>
      <c r="K101" s="1353"/>
      <c r="L101" s="1353"/>
      <c r="M101" s="1354"/>
      <c r="N101" s="1354"/>
      <c r="O101" s="3285"/>
      <c r="P101" s="1354"/>
      <c r="Q101" s="1354"/>
    </row>
    <row r="102" spans="1:27" s="56" customFormat="1">
      <c r="A102" s="3286"/>
      <c r="B102" s="1341" t="s">
        <v>1084</v>
      </c>
      <c r="C102" s="1349" t="s">
        <v>11</v>
      </c>
      <c r="D102" s="1337"/>
      <c r="E102" s="1337"/>
      <c r="F102" s="1337">
        <v>-9128.6299999999992</v>
      </c>
      <c r="G102" s="1337"/>
      <c r="H102" s="1337"/>
      <c r="I102" s="1337"/>
      <c r="J102" s="1337"/>
      <c r="K102" s="1337"/>
      <c r="L102" s="1337"/>
      <c r="M102" s="1338"/>
      <c r="N102" s="1338"/>
      <c r="O102" s="3287"/>
      <c r="P102" s="1338"/>
      <c r="Q102" s="1338"/>
    </row>
    <row r="103" spans="1:27" s="56" customFormat="1" ht="38.25">
      <c r="A103" s="3286"/>
      <c r="B103" s="1341" t="s">
        <v>1086</v>
      </c>
      <c r="C103" s="1349" t="s">
        <v>11</v>
      </c>
      <c r="D103" s="1337"/>
      <c r="E103" s="1337"/>
      <c r="F103" s="1337">
        <v>-1489.77</v>
      </c>
      <c r="G103" s="1337"/>
      <c r="H103" s="1337"/>
      <c r="I103" s="1337"/>
      <c r="J103" s="1337"/>
      <c r="K103" s="1337"/>
      <c r="L103" s="1337"/>
      <c r="M103" s="1338"/>
      <c r="N103" s="1338"/>
      <c r="O103" s="3287"/>
      <c r="P103" s="1338"/>
      <c r="Q103" s="1338"/>
    </row>
    <row r="104" spans="1:27" s="56" customFormat="1" ht="15.75" thickBot="1">
      <c r="A104" s="3286"/>
      <c r="B104" s="1341" t="s">
        <v>1825</v>
      </c>
      <c r="C104" s="1379" t="s">
        <v>11</v>
      </c>
      <c r="D104" s="1337"/>
      <c r="E104" s="1337"/>
      <c r="F104" s="1337">
        <v>-1036.82</v>
      </c>
      <c r="G104" s="1337"/>
      <c r="H104" s="1337"/>
      <c r="I104" s="1337"/>
      <c r="J104" s="1337"/>
      <c r="K104" s="1337"/>
      <c r="L104" s="1337"/>
      <c r="M104" s="1338">
        <v>1067.29</v>
      </c>
      <c r="N104" s="1338"/>
      <c r="O104" s="3287"/>
      <c r="P104" s="1338"/>
      <c r="Q104" s="1338"/>
    </row>
    <row r="105" spans="1:27" ht="75.75" thickBot="1">
      <c r="A105" s="1332"/>
      <c r="B105" s="1333" t="s">
        <v>142</v>
      </c>
      <c r="C105" s="1334" t="s">
        <v>11</v>
      </c>
      <c r="D105" s="1183">
        <f>D93+D94+D98+D101</f>
        <v>607761.66349926405</v>
      </c>
      <c r="E105" s="1183">
        <f t="shared" ref="E105:J105" si="35">E93+E94+E98+E101</f>
        <v>641708.98918163951</v>
      </c>
      <c r="F105" s="1183">
        <f t="shared" si="35"/>
        <v>617113.04902120982</v>
      </c>
      <c r="G105" s="1183">
        <f t="shared" si="35"/>
        <v>716955.41232315928</v>
      </c>
      <c r="H105" s="1183">
        <f t="shared" si="35"/>
        <v>335163.56371907808</v>
      </c>
      <c r="I105" s="1183">
        <f t="shared" si="35"/>
        <v>746429.0372120348</v>
      </c>
      <c r="J105" s="1183">
        <f t="shared" si="35"/>
        <v>888123.60718210693</v>
      </c>
      <c r="K105" s="1183">
        <f>K82+K85+K94</f>
        <v>920708.87621789973</v>
      </c>
      <c r="L105" s="1183">
        <f>L82+L85+L94</f>
        <v>980612.81667078193</v>
      </c>
      <c r="M105" s="1335">
        <f>M93-M98-0.01-11.18-2281.87</f>
        <v>662189.39927915053</v>
      </c>
      <c r="N105" s="1335">
        <f>J105-M105</f>
        <v>225934.2079029564</v>
      </c>
      <c r="O105" s="3278" t="s">
        <v>1826</v>
      </c>
      <c r="P105" s="1335">
        <f t="shared" si="25"/>
        <v>3.1915417179412264E-2</v>
      </c>
      <c r="Q105" s="1335">
        <f t="shared" si="26"/>
        <v>-0.1128568607774495</v>
      </c>
    </row>
    <row r="106" spans="1:27" ht="15.75" thickBot="1">
      <c r="A106" s="186"/>
      <c r="B106" s="184" t="s">
        <v>387</v>
      </c>
      <c r="C106" s="185" t="s">
        <v>146</v>
      </c>
      <c r="D106" s="649">
        <v>42669.17</v>
      </c>
      <c r="E106" s="1803">
        <v>35819.502</v>
      </c>
      <c r="F106" s="1783">
        <v>40569.167999999998</v>
      </c>
      <c r="G106" s="649">
        <v>34884.449999999997</v>
      </c>
      <c r="H106" s="649">
        <f>G106/2</f>
        <v>17442.224999999999</v>
      </c>
      <c r="I106" s="649">
        <v>34885.449999999997</v>
      </c>
      <c r="J106" s="649">
        <v>35490.811999999998</v>
      </c>
      <c r="K106" s="649">
        <v>35181.629999999997</v>
      </c>
      <c r="L106" s="649">
        <v>35788.097999999998</v>
      </c>
      <c r="M106" s="1394">
        <f>'[7]Баланс ВС_2016 (2)'!O48</f>
        <v>40762.129321767512</v>
      </c>
      <c r="N106" s="612">
        <f>J106-M106</f>
        <v>-5271.3173217675139</v>
      </c>
      <c r="O106" s="3288"/>
      <c r="P106" s="3288" t="s">
        <v>1827</v>
      </c>
      <c r="Q106" s="3288"/>
    </row>
    <row r="107" spans="1:27" ht="15.75" thickBot="1">
      <c r="A107" s="134"/>
      <c r="B107" s="137" t="s">
        <v>1083</v>
      </c>
      <c r="C107" s="135" t="s">
        <v>143</v>
      </c>
      <c r="D107" s="650">
        <f>D105/(D106)</f>
        <v>14.24357829081897</v>
      </c>
      <c r="E107" s="650">
        <f>E105/(E106)</f>
        <v>17.915072889110505</v>
      </c>
      <c r="F107" s="650">
        <f>F105/(F106)</f>
        <v>15.211380450819446</v>
      </c>
      <c r="G107" s="650">
        <f t="shared" ref="G107:L107" si="36">G105/(G106)</f>
        <v>20.552292277021976</v>
      </c>
      <c r="H107" s="650">
        <f t="shared" si="36"/>
        <v>19.21564271296111</v>
      </c>
      <c r="I107" s="650">
        <f t="shared" si="36"/>
        <v>21.396571843333966</v>
      </c>
      <c r="J107" s="650">
        <f t="shared" si="36"/>
        <v>25.024043044777532</v>
      </c>
      <c r="K107" s="650">
        <f t="shared" si="36"/>
        <v>26.170159717383754</v>
      </c>
      <c r="L107" s="650">
        <f t="shared" si="36"/>
        <v>27.400528987899328</v>
      </c>
      <c r="M107" s="551">
        <f>M105/M106</f>
        <v>16.245211187373684</v>
      </c>
      <c r="N107" s="551"/>
      <c r="O107" s="3288" t="s">
        <v>1828</v>
      </c>
      <c r="P107" s="3289">
        <f>O117/N117</f>
        <v>1.0395745371686458</v>
      </c>
      <c r="Q107" s="3289">
        <f>O117/I107</f>
        <v>0.7739754993628043</v>
      </c>
    </row>
    <row r="108" spans="1:27" ht="15.75" thickBot="1">
      <c r="A108" s="3290"/>
      <c r="B108" s="3291" t="s">
        <v>389</v>
      </c>
      <c r="C108" s="3292" t="s">
        <v>280</v>
      </c>
      <c r="D108" s="3293"/>
      <c r="E108" s="3293"/>
      <c r="F108" s="3294"/>
      <c r="G108" s="3294">
        <f t="shared" ref="G108:L108" si="37">(G107/F107-1)*100</f>
        <v>35.111289494536393</v>
      </c>
      <c r="H108" s="3294">
        <f t="shared" si="37"/>
        <v>-6.5036519821941141</v>
      </c>
      <c r="I108" s="3294">
        <f t="shared" si="37"/>
        <v>11.349758959151558</v>
      </c>
      <c r="J108" s="3294">
        <f t="shared" si="37"/>
        <v>16.95351586227909</v>
      </c>
      <c r="K108" s="3294">
        <f t="shared" si="37"/>
        <v>4.580061945047742</v>
      </c>
      <c r="L108" s="3294">
        <f t="shared" si="37"/>
        <v>4.7014205637357698</v>
      </c>
      <c r="M108" s="3295"/>
      <c r="N108" s="3296"/>
      <c r="O108" s="3288" t="s">
        <v>1829</v>
      </c>
      <c r="P108" s="3289">
        <f>P117/N117</f>
        <v>1.0197872685105891</v>
      </c>
      <c r="Q108" s="3288" t="s">
        <v>1830</v>
      </c>
    </row>
    <row r="109" spans="1:27" ht="15.75" thickTop="1">
      <c r="A109" s="56"/>
      <c r="B109" s="213"/>
      <c r="C109" s="214"/>
      <c r="D109" s="615"/>
      <c r="E109" s="615"/>
      <c r="F109" s="2427" t="s">
        <v>1334</v>
      </c>
      <c r="G109" s="2428">
        <f>(G107/F107-1)*100</f>
        <v>35.111289494536393</v>
      </c>
      <c r="H109" s="2428">
        <f>(H107/F107-1)*100</f>
        <v>26.324121437156943</v>
      </c>
      <c r="I109" s="2428">
        <f>(I107/F107-1)*100</f>
        <v>40.661604727540166</v>
      </c>
      <c r="J109" s="2428">
        <f>(J107/F107-1)*100</f>
        <v>64.508692197160002</v>
      </c>
      <c r="K109" s="2428">
        <f>(K107/F107-1)*100</f>
        <v>72.043292204777856</v>
      </c>
      <c r="L109" s="2428">
        <f>(L107/F107-1)*100</f>
        <v>80.131770923021278</v>
      </c>
      <c r="M109" s="615"/>
    </row>
    <row r="110" spans="1:27" hidden="1">
      <c r="A110" s="56"/>
      <c r="B110" s="213"/>
      <c r="C110" s="214"/>
      <c r="D110" s="813"/>
      <c r="E110" s="615"/>
      <c r="F110" s="2427"/>
      <c r="G110" s="2427"/>
      <c r="H110" s="2427"/>
      <c r="I110" s="2427"/>
      <c r="J110" s="2427"/>
      <c r="K110" s="2427"/>
      <c r="L110" s="2427"/>
      <c r="M110" s="615"/>
    </row>
    <row r="111" spans="1:27" hidden="1">
      <c r="A111" s="56"/>
      <c r="B111" s="213"/>
      <c r="C111" s="214"/>
      <c r="D111" s="814">
        <f t="shared" ref="D111:L111" si="38">D82/D106</f>
        <v>14.180990009865768</v>
      </c>
      <c r="E111" s="814">
        <f t="shared" si="38"/>
        <v>17.204005594430328</v>
      </c>
      <c r="F111" s="512">
        <f t="shared" si="38"/>
        <v>15.366846542704792</v>
      </c>
      <c r="G111" s="512">
        <f t="shared" si="38"/>
        <v>19.765091021468624</v>
      </c>
      <c r="H111" s="512"/>
      <c r="I111" s="512"/>
      <c r="J111" s="512">
        <f t="shared" si="38"/>
        <v>23.890957994090247</v>
      </c>
      <c r="K111" s="512">
        <f t="shared" si="38"/>
        <v>25.175983820476223</v>
      </c>
      <c r="L111" s="512">
        <f t="shared" si="38"/>
        <v>26.361411425187022</v>
      </c>
      <c r="M111" s="615"/>
    </row>
    <row r="112" spans="1:27" hidden="1">
      <c r="F112" s="1135"/>
      <c r="G112" s="1135"/>
      <c r="H112" s="1135"/>
      <c r="I112" s="1135"/>
      <c r="J112" s="1135"/>
      <c r="K112" s="1135"/>
      <c r="L112" s="1135"/>
    </row>
    <row r="113" spans="1:17" ht="30" hidden="1">
      <c r="A113" s="70"/>
      <c r="B113" s="133" t="s">
        <v>373</v>
      </c>
      <c r="C113" s="70" t="s">
        <v>11</v>
      </c>
      <c r="D113" s="616"/>
      <c r="E113" s="2423"/>
      <c r="F113" s="616"/>
      <c r="G113" s="616"/>
      <c r="H113" s="616"/>
      <c r="I113" s="616"/>
      <c r="J113" s="616"/>
      <c r="K113" s="616"/>
      <c r="L113" s="616"/>
      <c r="M113" s="2424"/>
      <c r="N113" s="616"/>
      <c r="O113" s="616"/>
    </row>
    <row r="114" spans="1:17" hidden="1">
      <c r="F114" s="1135"/>
      <c r="G114" s="1135"/>
      <c r="H114" s="1135"/>
      <c r="I114" s="1135"/>
      <c r="J114" s="1135"/>
      <c r="K114" s="1135"/>
      <c r="L114" s="1135"/>
    </row>
    <row r="115" spans="1:17" ht="27" customHeight="1">
      <c r="D115"/>
      <c r="E115"/>
      <c r="F115" s="1" t="s">
        <v>1528</v>
      </c>
      <c r="G115" s="1344">
        <f>G107*1.18</f>
        <v>24.251704886885932</v>
      </c>
      <c r="H115" s="1344">
        <f t="shared" ref="H115:L115" si="39">H107*1.18</f>
        <v>22.674458401294107</v>
      </c>
      <c r="I115" s="1344">
        <f t="shared" si="39"/>
        <v>25.24795477513408</v>
      </c>
      <c r="J115" s="1344">
        <f t="shared" si="39"/>
        <v>29.528370792837485</v>
      </c>
      <c r="K115" s="1344">
        <f t="shared" si="39"/>
        <v>30.880788466512829</v>
      </c>
      <c r="L115" s="1344">
        <f t="shared" si="39"/>
        <v>32.332624205721203</v>
      </c>
      <c r="M115" s="2425" t="s">
        <v>1101</v>
      </c>
      <c r="N115" s="1342" t="s">
        <v>1320</v>
      </c>
      <c r="O115" s="1342" t="s">
        <v>1321</v>
      </c>
      <c r="P115" s="1403" t="s">
        <v>1079</v>
      </c>
      <c r="Q115" s="1342" t="s">
        <v>1080</v>
      </c>
    </row>
    <row r="116" spans="1:17">
      <c r="D116"/>
      <c r="E116"/>
      <c r="F116"/>
      <c r="G116"/>
      <c r="H116"/>
      <c r="I116" s="403"/>
      <c r="J116"/>
      <c r="K116"/>
      <c r="L116"/>
      <c r="M116" s="1343" t="s">
        <v>1078</v>
      </c>
      <c r="N116" s="1404">
        <f>M106/2</f>
        <v>20381.064660883756</v>
      </c>
      <c r="O116" s="1404">
        <f>M106-N116</f>
        <v>20381.064660883756</v>
      </c>
      <c r="P116" s="1405">
        <f>N116+O116</f>
        <v>40762.129321767512</v>
      </c>
      <c r="Q116" s="1406"/>
    </row>
    <row r="117" spans="1:17">
      <c r="D117"/>
      <c r="E117"/>
      <c r="F117"/>
      <c r="G117"/>
      <c r="H117"/>
      <c r="I117"/>
      <c r="J117"/>
      <c r="K117"/>
      <c r="L117"/>
      <c r="M117" s="1343" t="s">
        <v>1081</v>
      </c>
      <c r="N117" s="3297">
        <v>15.93</v>
      </c>
      <c r="O117" s="1413">
        <f>O118/O116</f>
        <v>16.560422377096526</v>
      </c>
      <c r="P117" s="1408">
        <f>P118/P116</f>
        <v>16.245211187373684</v>
      </c>
      <c r="Q117" s="1409">
        <f>O117/N117</f>
        <v>1.0395745371686458</v>
      </c>
    </row>
    <row r="118" spans="1:17" ht="21.75" customHeight="1">
      <c r="D118"/>
      <c r="E118"/>
      <c r="F118"/>
      <c r="G118"/>
      <c r="H118"/>
      <c r="I118"/>
      <c r="J118"/>
      <c r="K118"/>
      <c r="L118"/>
      <c r="M118" s="1343" t="s">
        <v>1082</v>
      </c>
      <c r="N118" s="1410">
        <v>324670.36</v>
      </c>
      <c r="O118" s="1404">
        <f>M105-N118</f>
        <v>337519.03927915054</v>
      </c>
      <c r="P118" s="1405">
        <f>N118+O118</f>
        <v>662189.39927915053</v>
      </c>
      <c r="Q118" s="1406"/>
    </row>
    <row r="119" spans="1:17" hidden="1">
      <c r="D119"/>
      <c r="E119"/>
      <c r="F119"/>
      <c r="G119"/>
      <c r="H119"/>
      <c r="I119"/>
      <c r="J119"/>
      <c r="K119"/>
      <c r="L119"/>
    </row>
    <row r="120" spans="1:17" hidden="1">
      <c r="D120"/>
      <c r="E120"/>
      <c r="F120"/>
      <c r="G120"/>
      <c r="H120"/>
      <c r="I120"/>
      <c r="J120"/>
      <c r="K120"/>
      <c r="L120"/>
    </row>
    <row r="121" spans="1:17" hidden="1">
      <c r="C121" t="s">
        <v>1026</v>
      </c>
      <c r="D121"/>
      <c r="E121"/>
      <c r="F121"/>
      <c r="G121"/>
      <c r="H121"/>
      <c r="I121"/>
      <c r="J121"/>
      <c r="K121"/>
      <c r="L121"/>
    </row>
    <row r="122" spans="1:17" hidden="1">
      <c r="D122"/>
      <c r="E122"/>
      <c r="F122"/>
      <c r="G122"/>
      <c r="H122"/>
      <c r="I122"/>
      <c r="J122"/>
      <c r="K122"/>
      <c r="L122"/>
    </row>
    <row r="123" spans="1:17" hidden="1">
      <c r="D123"/>
      <c r="E123"/>
      <c r="F123"/>
      <c r="G123"/>
      <c r="H123"/>
      <c r="I123"/>
      <c r="J123"/>
      <c r="K123"/>
      <c r="L123"/>
    </row>
    <row r="124" spans="1:17">
      <c r="D124"/>
      <c r="E124"/>
      <c r="F124"/>
      <c r="G124"/>
      <c r="H124"/>
      <c r="I124"/>
      <c r="J124"/>
      <c r="K124"/>
      <c r="L124"/>
    </row>
    <row r="125" spans="1:17">
      <c r="D125"/>
      <c r="E125"/>
      <c r="F125"/>
      <c r="G125"/>
      <c r="H125"/>
      <c r="I125"/>
      <c r="J125"/>
      <c r="K125"/>
      <c r="L125"/>
    </row>
    <row r="126" spans="1:17">
      <c r="D126"/>
      <c r="E126"/>
      <c r="F126"/>
      <c r="G126" s="500">
        <v>18039.246000000003</v>
      </c>
      <c r="H126" s="500">
        <v>36258.884460000001</v>
      </c>
      <c r="I126" s="500">
        <v>43393.107324999997</v>
      </c>
      <c r="J126" s="500">
        <v>73502.179965000003</v>
      </c>
      <c r="K126" s="500">
        <v>100250.80497499999</v>
      </c>
      <c r="L126"/>
    </row>
    <row r="127" spans="1:17">
      <c r="D127"/>
      <c r="E127"/>
      <c r="F127"/>
      <c r="G127" s="500">
        <v>15527.570000000002</v>
      </c>
      <c r="H127" s="500">
        <v>31210.415700000001</v>
      </c>
      <c r="I127" s="500">
        <v>41126.863845</v>
      </c>
      <c r="J127" s="500">
        <v>69815.529024999996</v>
      </c>
      <c r="K127" s="500">
        <v>151996.18331999998</v>
      </c>
      <c r="L127"/>
    </row>
    <row r="128" spans="1:17">
      <c r="D128"/>
      <c r="E128"/>
      <c r="F128"/>
      <c r="G128" s="403">
        <f>SUM(G126:G127)</f>
        <v>33566.816000000006</v>
      </c>
      <c r="H128" s="403">
        <f t="shared" ref="H128:K128" si="40">SUM(H126:H127)</f>
        <v>67469.300159999999</v>
      </c>
      <c r="I128" s="403">
        <f t="shared" si="40"/>
        <v>84519.971170000004</v>
      </c>
      <c r="J128" s="403">
        <f t="shared" si="40"/>
        <v>143317.70899000001</v>
      </c>
      <c r="K128" s="403">
        <f t="shared" si="40"/>
        <v>252246.98829499999</v>
      </c>
      <c r="L128"/>
    </row>
    <row r="129" spans="4:12">
      <c r="D129"/>
      <c r="E129"/>
      <c r="F129"/>
      <c r="G129"/>
      <c r="I129" s="500">
        <v>119948.9</v>
      </c>
      <c r="J129" s="500">
        <v>192687.86</v>
      </c>
      <c r="K129" s="500">
        <v>314292.46999999997</v>
      </c>
      <c r="L129"/>
    </row>
    <row r="130" spans="4:12">
      <c r="I130" s="554">
        <f>I128/I129</f>
        <v>0.7046331493661051</v>
      </c>
      <c r="J130" s="554">
        <f t="shared" ref="J130:K130" si="41">J128/J129</f>
        <v>0.74378172548078547</v>
      </c>
      <c r="K130" s="554">
        <f t="shared" si="41"/>
        <v>0.80258680169779439</v>
      </c>
    </row>
  </sheetData>
  <mergeCells count="21">
    <mergeCell ref="A3:J3"/>
    <mergeCell ref="C4:F4"/>
    <mergeCell ref="A5:A7"/>
    <mergeCell ref="B5:B7"/>
    <mergeCell ref="C5:C7"/>
    <mergeCell ref="D5:L5"/>
    <mergeCell ref="O41:O42"/>
    <mergeCell ref="A79:A80"/>
    <mergeCell ref="P5:Q5"/>
    <mergeCell ref="D6:E6"/>
    <mergeCell ref="F6:G6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</mergeCells>
  <pageMargins left="0" right="0" top="0.15748031496062992" bottom="0.15748031496062992" header="0.31496062992125984" footer="0.31496062992125984"/>
  <pageSetup paperSize="9" scale="6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A130"/>
  <sheetViews>
    <sheetView zoomScale="90" zoomScaleNormal="90" workbookViewId="0">
      <pane xSplit="1" ySplit="8" topLeftCell="B75" activePane="bottomRight" state="frozen"/>
      <selection pane="topRight" activeCell="B1" sqref="B1"/>
      <selection pane="bottomLeft" activeCell="A9" sqref="A9"/>
      <selection pane="bottomRight" activeCell="J81" sqref="J81"/>
    </sheetView>
  </sheetViews>
  <sheetFormatPr defaultRowHeight="15"/>
  <cols>
    <col min="1" max="1" width="5.7109375" customWidth="1"/>
    <col min="2" max="2" width="36.85546875" customWidth="1"/>
    <col min="3" max="3" width="11.140625" customWidth="1"/>
    <col min="4" max="4" width="14.42578125" style="554" customWidth="1"/>
    <col min="5" max="5" width="14.28515625" style="554" customWidth="1"/>
    <col min="6" max="6" width="15.42578125" style="554" customWidth="1"/>
    <col min="7" max="9" width="14.28515625" style="554" customWidth="1"/>
    <col min="10" max="10" width="14" style="554" customWidth="1"/>
    <col min="11" max="11" width="14.7109375" style="554" hidden="1" customWidth="1"/>
    <col min="12" max="12" width="14" style="554" hidden="1" customWidth="1"/>
    <col min="13" max="13" width="13.5703125" style="554" customWidth="1"/>
    <col min="14" max="14" width="12.42578125" style="554" customWidth="1"/>
    <col min="15" max="15" width="13.28515625" style="554" customWidth="1"/>
    <col min="16" max="16" width="12.42578125" customWidth="1"/>
    <col min="17" max="17" width="10" customWidth="1"/>
  </cols>
  <sheetData>
    <row r="1" spans="1:15">
      <c r="F1" s="1249"/>
      <c r="G1" s="1291"/>
      <c r="H1" s="2445"/>
      <c r="I1" s="2445"/>
      <c r="J1" s="2445"/>
      <c r="K1" s="2445"/>
      <c r="L1" s="2445"/>
      <c r="M1" s="1291"/>
    </row>
    <row r="2" spans="1:15">
      <c r="B2" s="358" t="s">
        <v>1268</v>
      </c>
      <c r="D2" s="1249"/>
      <c r="H2" s="2435">
        <f>H85*0.2</f>
        <v>2624.0286313654042</v>
      </c>
      <c r="I2" s="2435">
        <f t="shared" ref="I2:L2" si="0">I85*0.2</f>
        <v>5782.3888455277411</v>
      </c>
      <c r="J2" s="2435">
        <f t="shared" si="0"/>
        <v>6691.1793027905651</v>
      </c>
      <c r="K2" s="2435">
        <f t="shared" si="0"/>
        <v>6995.3457119837767</v>
      </c>
      <c r="L2" s="2435">
        <f t="shared" si="0"/>
        <v>7437.6082335738411</v>
      </c>
    </row>
    <row r="3" spans="1:15">
      <c r="A3" s="3430" t="s">
        <v>374</v>
      </c>
      <c r="B3" s="3430"/>
      <c r="C3" s="3430"/>
      <c r="D3" s="3430"/>
      <c r="E3" s="3430"/>
      <c r="F3" s="3430"/>
      <c r="G3" s="3430"/>
      <c r="H3" s="3430"/>
      <c r="I3" s="3430"/>
      <c r="J3" s="3430"/>
      <c r="K3" s="553"/>
      <c r="L3" s="553"/>
    </row>
    <row r="4" spans="1:15" ht="15.75" thickBot="1">
      <c r="A4" s="104"/>
      <c r="B4" s="155" t="s">
        <v>375</v>
      </c>
      <c r="C4" s="3431" t="s">
        <v>1102</v>
      </c>
      <c r="D4" s="3431"/>
      <c r="E4" s="3431"/>
      <c r="F4" s="3431"/>
      <c r="G4" s="553"/>
      <c r="H4" s="553"/>
      <c r="I4" s="553"/>
      <c r="J4" s="553"/>
      <c r="K4" s="553"/>
      <c r="L4" s="553"/>
    </row>
    <row r="5" spans="1:15" ht="15.75" thickBot="1">
      <c r="A5" s="3389" t="s">
        <v>0</v>
      </c>
      <c r="B5" s="3389" t="s">
        <v>1</v>
      </c>
      <c r="C5" s="3389" t="s">
        <v>2</v>
      </c>
      <c r="D5" s="3432" t="s">
        <v>165</v>
      </c>
      <c r="E5" s="3433"/>
      <c r="F5" s="3433"/>
      <c r="G5" s="3433"/>
      <c r="H5" s="3433"/>
      <c r="I5" s="3433"/>
      <c r="J5" s="3433"/>
      <c r="K5" s="3433"/>
      <c r="L5" s="3434"/>
      <c r="M5" s="3196" t="s">
        <v>166</v>
      </c>
      <c r="N5" s="3197"/>
      <c r="O5" s="2665"/>
    </row>
    <row r="6" spans="1:15" ht="30" customHeight="1" thickBot="1">
      <c r="A6" s="3401"/>
      <c r="B6" s="3401"/>
      <c r="C6" s="3401"/>
      <c r="D6" s="3416">
        <v>2014</v>
      </c>
      <c r="E6" s="3417"/>
      <c r="F6" s="3418">
        <v>2015</v>
      </c>
      <c r="G6" s="3419"/>
      <c r="H6" s="3420" t="s">
        <v>1375</v>
      </c>
      <c r="I6" s="3420" t="s">
        <v>1379</v>
      </c>
      <c r="J6" s="3389" t="s">
        <v>392</v>
      </c>
      <c r="K6" s="3422" t="s">
        <v>393</v>
      </c>
      <c r="L6" s="3424" t="s">
        <v>1297</v>
      </c>
      <c r="M6" s="3424" t="s">
        <v>392</v>
      </c>
      <c r="N6" s="3424" t="s">
        <v>393</v>
      </c>
      <c r="O6" s="3424" t="s">
        <v>1297</v>
      </c>
    </row>
    <row r="7" spans="1:15" ht="32.25" customHeight="1" thickBot="1">
      <c r="A7" s="3390"/>
      <c r="B7" s="3390"/>
      <c r="C7" s="3390"/>
      <c r="D7" s="2770" t="s">
        <v>966</v>
      </c>
      <c r="E7" s="4" t="s">
        <v>6</v>
      </c>
      <c r="F7" s="2770" t="s">
        <v>966</v>
      </c>
      <c r="G7" s="2048" t="s">
        <v>1397</v>
      </c>
      <c r="H7" s="3421"/>
      <c r="I7" s="3421"/>
      <c r="J7" s="3390"/>
      <c r="K7" s="3423"/>
      <c r="L7" s="3425"/>
      <c r="M7" s="3425"/>
      <c r="N7" s="3425"/>
      <c r="O7" s="3425"/>
    </row>
    <row r="8" spans="1:15" ht="15.75" thickBot="1">
      <c r="A8" s="32">
        <v>1</v>
      </c>
      <c r="B8" s="33">
        <v>2</v>
      </c>
      <c r="C8" s="33">
        <v>3</v>
      </c>
      <c r="D8" s="556">
        <v>4</v>
      </c>
      <c r="E8" s="556">
        <v>5</v>
      </c>
      <c r="F8" s="1786">
        <v>6</v>
      </c>
      <c r="G8" s="556">
        <v>7</v>
      </c>
      <c r="H8" s="2007" t="s">
        <v>1377</v>
      </c>
      <c r="I8" s="2007" t="s">
        <v>1378</v>
      </c>
      <c r="J8" s="557">
        <v>8</v>
      </c>
      <c r="K8" s="558">
        <v>9</v>
      </c>
      <c r="L8" s="558">
        <v>10</v>
      </c>
      <c r="M8" s="559">
        <v>9</v>
      </c>
      <c r="N8" s="559">
        <v>10</v>
      </c>
      <c r="O8" s="559">
        <v>11</v>
      </c>
    </row>
    <row r="9" spans="1:15" ht="15.75" thickBot="1">
      <c r="A9" s="221"/>
      <c r="B9" s="5"/>
      <c r="C9" s="5"/>
      <c r="D9" s="560"/>
      <c r="E9" s="560"/>
      <c r="F9" s="560"/>
      <c r="G9" s="560"/>
      <c r="H9" s="560"/>
      <c r="I9" s="560"/>
      <c r="J9" s="560"/>
      <c r="K9" s="560"/>
      <c r="L9" s="561"/>
      <c r="M9" s="562"/>
      <c r="N9" s="563"/>
      <c r="O9" s="562"/>
    </row>
    <row r="10" spans="1:15" ht="15.75" thickBot="1">
      <c r="A10" s="6">
        <v>1</v>
      </c>
      <c r="B10" s="7" t="s">
        <v>9</v>
      </c>
      <c r="C10" s="7"/>
      <c r="D10" s="1292">
        <f t="shared" ref="D10:O10" si="1">D11+D15+D21+D22+D25+D26+D27</f>
        <v>341890.75729236763</v>
      </c>
      <c r="E10" s="1292">
        <f t="shared" si="1"/>
        <v>438498.46990506834</v>
      </c>
      <c r="F10" s="1292">
        <f t="shared" si="1"/>
        <v>497880.25466280989</v>
      </c>
      <c r="G10" s="1292">
        <f t="shared" si="1"/>
        <v>495016.51887307112</v>
      </c>
      <c r="H10" s="1292">
        <f t="shared" ref="H10:I10" si="2">H11+H15+H21+H22+H25+H26+H27</f>
        <v>232710.05393335107</v>
      </c>
      <c r="I10" s="1292">
        <f t="shared" si="2"/>
        <v>506989.0229105961</v>
      </c>
      <c r="J10" s="1292">
        <f t="shared" si="1"/>
        <v>549221.72731729399</v>
      </c>
      <c r="K10" s="1292">
        <f t="shared" si="1"/>
        <v>562123.57281152951</v>
      </c>
      <c r="L10" s="1292">
        <f t="shared" si="1"/>
        <v>582390.77443436801</v>
      </c>
      <c r="M10" s="1292">
        <f>M11+M15+M21+M22+M25+M26+M27</f>
        <v>501777.64527548233</v>
      </c>
      <c r="N10" s="1292">
        <f t="shared" si="1"/>
        <v>0</v>
      </c>
      <c r="O10" s="564">
        <f t="shared" si="1"/>
        <v>0</v>
      </c>
    </row>
    <row r="11" spans="1:15" ht="33" customHeight="1" thickBot="1">
      <c r="A11" s="146" t="s">
        <v>10</v>
      </c>
      <c r="B11" s="147" t="s">
        <v>144</v>
      </c>
      <c r="C11" s="148" t="s">
        <v>11</v>
      </c>
      <c r="D11" s="544">
        <f t="shared" ref="D11:L11" si="3">D12+D13+D14</f>
        <v>89113.382495644444</v>
      </c>
      <c r="E11" s="544">
        <f t="shared" si="3"/>
        <v>88830.586908536119</v>
      </c>
      <c r="F11" s="544">
        <f t="shared" si="3"/>
        <v>88365.026002419705</v>
      </c>
      <c r="G11" s="544">
        <f t="shared" si="3"/>
        <v>101638.75511924221</v>
      </c>
      <c r="H11" s="544">
        <f t="shared" ref="H11:I11" si="4">H12+H13+H14</f>
        <v>47095.118982287357</v>
      </c>
      <c r="I11" s="544">
        <f t="shared" si="4"/>
        <v>116387.75244241621</v>
      </c>
      <c r="J11" s="544">
        <f t="shared" si="3"/>
        <v>162700.66830793064</v>
      </c>
      <c r="K11" s="544">
        <f t="shared" si="3"/>
        <v>167741.87364907598</v>
      </c>
      <c r="L11" s="544">
        <f t="shared" si="3"/>
        <v>176031.04993927525</v>
      </c>
      <c r="M11" s="565">
        <f>M12+M13+M14</f>
        <v>109769.91409646446</v>
      </c>
      <c r="N11" s="566">
        <f t="shared" ref="N11:O11" si="5">N12+N13+N14</f>
        <v>0</v>
      </c>
      <c r="O11" s="565">
        <f t="shared" si="5"/>
        <v>0</v>
      </c>
    </row>
    <row r="12" spans="1:15" ht="15.75" thickTop="1">
      <c r="A12" s="9" t="s">
        <v>12</v>
      </c>
      <c r="B12" s="1784" t="s">
        <v>13</v>
      </c>
      <c r="C12" s="11" t="s">
        <v>11</v>
      </c>
      <c r="D12" s="547">
        <v>79518.399999999994</v>
      </c>
      <c r="E12" s="547">
        <f>'расшифровки ВС_2016'!E66</f>
        <v>75548.850217999992</v>
      </c>
      <c r="F12" s="547">
        <f>'расшифровки ВС_2016'!F66</f>
        <v>75317.127132852678</v>
      </c>
      <c r="G12" s="547">
        <f>'расшифровки ВС_2016'!G66</f>
        <v>87730.314410000006</v>
      </c>
      <c r="H12" s="547">
        <f>'расшифровки ВС_2016'!H66</f>
        <v>40105.535199999998</v>
      </c>
      <c r="I12" s="547">
        <f>'расшифровки ВС_2016'!I66</f>
        <v>103184.77899999999</v>
      </c>
      <c r="J12" s="547">
        <f>'расшифровки ВС_2016'!J66</f>
        <v>149866.22293876001</v>
      </c>
      <c r="K12" s="547">
        <f>'расшифровки ВС_2016'!K66</f>
        <v>154729.834568046</v>
      </c>
      <c r="L12" s="547">
        <f>'расшифровки ВС_2016'!L66</f>
        <v>162459.493177761</v>
      </c>
      <c r="M12" s="567">
        <f>'расшифровки ВС_2016'!M66</f>
        <v>98678.515022066742</v>
      </c>
      <c r="N12" s="568"/>
      <c r="O12" s="567"/>
    </row>
    <row r="13" spans="1:15">
      <c r="A13" s="9" t="s">
        <v>14</v>
      </c>
      <c r="B13" s="12" t="s">
        <v>15</v>
      </c>
      <c r="C13" s="11" t="s">
        <v>11</v>
      </c>
      <c r="D13" s="548">
        <v>4200</v>
      </c>
      <c r="E13" s="548">
        <f>'расшифровки ВС_2016'!E80</f>
        <v>7795.1102408881325</v>
      </c>
      <c r="F13" s="548">
        <f>'расшифровки ВС_2016'!F80</f>
        <v>7355.7455652621475</v>
      </c>
      <c r="G13" s="548">
        <f>'расшифровки ВС_2016'!G80</f>
        <v>8197.4431674917996</v>
      </c>
      <c r="H13" s="548">
        <f>'расшифровки ВС_2016'!H80</f>
        <v>4509.4796700873585</v>
      </c>
      <c r="I13" s="548">
        <f>'расшифровки ВС_2016'!I80</f>
        <v>8595.627823016217</v>
      </c>
      <c r="J13" s="548">
        <f>'расшифровки ВС_2016'!J80</f>
        <v>8029.6540141226305</v>
      </c>
      <c r="K13" s="548">
        <f>'расшифровки ВС_2016'!K80</f>
        <v>8374.9291367299029</v>
      </c>
      <c r="L13" s="548">
        <f>'расшифровки ВС_2016'!L80</f>
        <v>8735.0510896092874</v>
      </c>
      <c r="M13" s="548">
        <f>'расшифровки ВС_2016'!M80</f>
        <v>8125.4956574377075</v>
      </c>
      <c r="N13" s="548"/>
      <c r="O13" s="548"/>
    </row>
    <row r="14" spans="1:15" ht="26.25" thickBot="1">
      <c r="A14" s="149" t="s">
        <v>16</v>
      </c>
      <c r="B14" s="150" t="s">
        <v>17</v>
      </c>
      <c r="C14" s="151" t="s">
        <v>11</v>
      </c>
      <c r="D14" s="543">
        <f>'расшифровки ВС_2016'!D97</f>
        <v>5394.9824956444436</v>
      </c>
      <c r="E14" s="543">
        <f>'расшифровки ВС_2016'!E97</f>
        <v>5486.6264496479998</v>
      </c>
      <c r="F14" s="543">
        <f>'расшифровки ВС_2016'!F97</f>
        <v>5692.1533043048876</v>
      </c>
      <c r="G14" s="543">
        <f>'расшифровки ВС_2016'!G97</f>
        <v>5710.9975417504002</v>
      </c>
      <c r="H14" s="543">
        <f>'расшифровки ВС_2016'!H97</f>
        <v>2480.1041121999997</v>
      </c>
      <c r="I14" s="543">
        <f>'расшифровки ВС_2016'!I97</f>
        <v>4607.3456194</v>
      </c>
      <c r="J14" s="543">
        <f>'расшифровки ВС_2016'!J97</f>
        <v>4804.7913550479998</v>
      </c>
      <c r="K14" s="543">
        <f>'расшифровки ВС_2016'!K97</f>
        <v>4637.1099443000639</v>
      </c>
      <c r="L14" s="543">
        <f>'расшифровки ВС_2016'!L97</f>
        <v>4836.5056719049662</v>
      </c>
      <c r="M14" s="1324">
        <f>'расшифровки ВС_2016'!M97</f>
        <v>2965.9034169599995</v>
      </c>
      <c r="N14" s="571"/>
      <c r="O14" s="1324"/>
    </row>
    <row r="15" spans="1:15" ht="32.25" customHeight="1" thickTop="1" thickBot="1">
      <c r="A15" s="146" t="s">
        <v>18</v>
      </c>
      <c r="B15" s="147" t="s">
        <v>19</v>
      </c>
      <c r="C15" s="148" t="s">
        <v>11</v>
      </c>
      <c r="D15" s="544">
        <f>D16+D17+D18+D19+D20</f>
        <v>105396.42</v>
      </c>
      <c r="E15" s="544">
        <f t="shared" ref="E15:O15" si="6">E16+E17+E18+E19+E20</f>
        <v>103452.49281295</v>
      </c>
      <c r="F15" s="544">
        <f t="shared" si="6"/>
        <v>116277.5619902</v>
      </c>
      <c r="G15" s="544">
        <f t="shared" si="6"/>
        <v>104348.416479765</v>
      </c>
      <c r="H15" s="544">
        <f t="shared" ref="H15:I15" si="7">H16+H17+H18+H19+H20</f>
        <v>51176.511019999991</v>
      </c>
      <c r="I15" s="544">
        <f t="shared" si="7"/>
        <v>114974.388955</v>
      </c>
      <c r="J15" s="544">
        <f t="shared" si="6"/>
        <v>118675.34319160001</v>
      </c>
      <c r="K15" s="544">
        <f t="shared" ref="K15" si="8">K16+K17+K18+K19+K20</f>
        <v>124710.29588484119</v>
      </c>
      <c r="L15" s="544">
        <f t="shared" ref="L15" si="9">L16+L17+L18+L19+L20</f>
        <v>131201.76621657965</v>
      </c>
      <c r="M15" s="544">
        <f t="shared" si="6"/>
        <v>115557.86320357147</v>
      </c>
      <c r="N15" s="544">
        <f t="shared" si="6"/>
        <v>0</v>
      </c>
      <c r="O15" s="544">
        <f t="shared" si="6"/>
        <v>0</v>
      </c>
    </row>
    <row r="16" spans="1:15" ht="15.75" thickTop="1">
      <c r="A16" s="9" t="s">
        <v>20</v>
      </c>
      <c r="B16" s="10" t="s">
        <v>21</v>
      </c>
      <c r="C16" s="11" t="s">
        <v>11</v>
      </c>
      <c r="D16" s="547">
        <f>69513.4+17519.4</f>
        <v>87032.799999999988</v>
      </c>
      <c r="E16" s="547">
        <f>'расшифровки ВС_2016'!E154</f>
        <v>85452.684260000009</v>
      </c>
      <c r="F16" s="547">
        <f>'расшифровки ВС_2016'!F154</f>
        <v>99221.139540000004</v>
      </c>
      <c r="G16" s="547">
        <f>'расшифровки ВС_2016'!G154</f>
        <v>85402.459593000007</v>
      </c>
      <c r="H16" s="547">
        <f>'расшифровки ВС_2016'!H154</f>
        <v>43117.899999999994</v>
      </c>
      <c r="I16" s="547">
        <f>'расшифровки ВС_2016'!I154</f>
        <v>95641.9</v>
      </c>
      <c r="J16" s="547">
        <f>'расшифровки ВС_2016'!J154</f>
        <v>99503.809000000008</v>
      </c>
      <c r="K16" s="547">
        <f>'расшифровки ВС_2016'!K154</f>
        <v>104777.511</v>
      </c>
      <c r="L16" s="547">
        <f>'расшифровки ВС_2016'!L154</f>
        <v>110330.72</v>
      </c>
      <c r="M16" s="567">
        <f>'расшифровки ВС_2016'!M154</f>
        <v>96985.115341571465</v>
      </c>
      <c r="N16" s="568"/>
      <c r="O16" s="567"/>
    </row>
    <row r="17" spans="1:17">
      <c r="A17" s="9" t="s">
        <v>24</v>
      </c>
      <c r="B17" s="12" t="s">
        <v>22</v>
      </c>
      <c r="C17" s="11" t="s">
        <v>11</v>
      </c>
      <c r="D17" s="548">
        <v>3586.36</v>
      </c>
      <c r="E17" s="548">
        <f>'расшифровки ВС_2016'!E177</f>
        <v>5039.5480114000002</v>
      </c>
      <c r="F17" s="548">
        <f>'расшифровки ВС_2016'!F177</f>
        <v>2715.3230250000001</v>
      </c>
      <c r="G17" s="548">
        <f>'расшифровки ВС_2016'!G177</f>
        <v>4381.1189226000006</v>
      </c>
      <c r="H17" s="548">
        <f>'расшифровки ВС_2016'!H172</f>
        <v>2627.95</v>
      </c>
      <c r="I17" s="548">
        <f>'расшифровки ВС_2016'!I172</f>
        <v>4391.75</v>
      </c>
      <c r="J17" s="548">
        <f>'расшифровки ВС_2016'!J172</f>
        <v>3579.2224999999999</v>
      </c>
      <c r="K17" s="548">
        <f>'расшифровки ВС_2016'!K172</f>
        <v>3733.1290674999996</v>
      </c>
      <c r="L17" s="548">
        <f>'расшифровки ВС_2016'!L172</f>
        <v>3893.6536174024991</v>
      </c>
      <c r="M17" s="573">
        <f>'расшифровки ВС_2016'!M177</f>
        <v>3486.3068749999993</v>
      </c>
      <c r="N17" s="570"/>
      <c r="O17" s="573"/>
    </row>
    <row r="18" spans="1:17">
      <c r="A18" s="9" t="s">
        <v>23</v>
      </c>
      <c r="B18" s="12" t="s">
        <v>25</v>
      </c>
      <c r="C18" s="11" t="s">
        <v>11</v>
      </c>
      <c r="D18" s="548"/>
      <c r="E18" s="548">
        <f>'расшифровки ВС_2016'!E195</f>
        <v>0</v>
      </c>
      <c r="F18" s="548"/>
      <c r="G18" s="548">
        <f>'расшифровки ВС_2016'!G195</f>
        <v>0</v>
      </c>
      <c r="H18" s="548">
        <f>'расшифровки ВС_2016'!H195</f>
        <v>0</v>
      </c>
      <c r="I18" s="548">
        <f>'расшифровки ВС_2016'!I195</f>
        <v>0</v>
      </c>
      <c r="J18" s="548">
        <f>'расшифровки ВС_2016'!J195</f>
        <v>0</v>
      </c>
      <c r="K18" s="548">
        <f>'расшифровки ВС_2016'!K195</f>
        <v>0</v>
      </c>
      <c r="L18" s="548">
        <f>'расшифровки ВС_2016'!L195</f>
        <v>0</v>
      </c>
      <c r="M18" s="573"/>
      <c r="N18" s="570"/>
      <c r="O18" s="573"/>
    </row>
    <row r="19" spans="1:17">
      <c r="A19" s="9" t="s">
        <v>26</v>
      </c>
      <c r="B19" s="12" t="s">
        <v>28</v>
      </c>
      <c r="C19" s="11" t="s">
        <v>11</v>
      </c>
      <c r="D19" s="548">
        <v>1091.46</v>
      </c>
      <c r="E19" s="548">
        <f>'расшифровки ВС_2016'!E219</f>
        <v>765.9913415499999</v>
      </c>
      <c r="F19" s="548">
        <f>'расшифровки ВС_2016'!F219</f>
        <v>987.50872519999996</v>
      </c>
      <c r="G19" s="548">
        <f>'расшифровки ВС_2016'!G219</f>
        <v>1459.1224141649998</v>
      </c>
      <c r="H19" s="548">
        <f>'расшифровки ВС_2016'!H219</f>
        <v>626.36227999999994</v>
      </c>
      <c r="I19" s="548">
        <f>'расшифровки ВС_2016'!I219</f>
        <v>1558.3150799999999</v>
      </c>
      <c r="J19" s="548">
        <f>'расшифровки ВС_2016'!J219</f>
        <v>1865.5016386</v>
      </c>
      <c r="K19" s="548">
        <f>'расшифровки ВС_2016'!K219</f>
        <v>1972.1421660517999</v>
      </c>
      <c r="L19" s="548">
        <f>'расшифровки ВС_2016'!L219</f>
        <v>2085.4957272883826</v>
      </c>
      <c r="M19" s="573">
        <f>'расшифровки ВС_2016'!M219</f>
        <v>1097.361787</v>
      </c>
      <c r="N19" s="570"/>
      <c r="O19" s="573"/>
    </row>
    <row r="20" spans="1:17" ht="15.75" thickBot="1">
      <c r="A20" s="149" t="s">
        <v>27</v>
      </c>
      <c r="B20" s="150" t="s">
        <v>29</v>
      </c>
      <c r="C20" s="151" t="s">
        <v>11</v>
      </c>
      <c r="D20" s="543">
        <f>13685.8</f>
        <v>13685.8</v>
      </c>
      <c r="E20" s="543">
        <f>'расшифровки ВС_2016'!E240</f>
        <v>12194.269200000001</v>
      </c>
      <c r="F20" s="543">
        <f>'расшифровки ВС_2016'!F240</f>
        <v>13353.590700000001</v>
      </c>
      <c r="G20" s="543">
        <f>'расшифровки ВС_2016'!G240</f>
        <v>13105.715549999999</v>
      </c>
      <c r="H20" s="543">
        <f>'расшифровки ВС_2016'!H240</f>
        <v>4804.2987400000002</v>
      </c>
      <c r="I20" s="543">
        <f>'расшифровки ВС_2016'!I240</f>
        <v>13382.423875</v>
      </c>
      <c r="J20" s="543">
        <f>'расшифровки ВС_2016'!J240</f>
        <v>13726.810052999997</v>
      </c>
      <c r="K20" s="543">
        <f>'расшифровки ВС_2016'!K240</f>
        <v>14227.513651289395</v>
      </c>
      <c r="L20" s="543">
        <f>'расшифровки ВС_2016'!L240</f>
        <v>14891.896871888763</v>
      </c>
      <c r="M20" s="574">
        <f>'расшифровки ВС_2016'!M240</f>
        <v>13989.0792</v>
      </c>
      <c r="N20" s="571"/>
      <c r="O20" s="574"/>
      <c r="Q20" s="8"/>
    </row>
    <row r="21" spans="1:17" ht="84" customHeight="1" thickTop="1" thickBot="1">
      <c r="A21" s="146" t="s">
        <v>30</v>
      </c>
      <c r="B21" s="147" t="s">
        <v>31</v>
      </c>
      <c r="C21" s="148" t="s">
        <v>32</v>
      </c>
      <c r="D21" s="544">
        <f>'расшифровки ВС_2016'!D262</f>
        <v>0</v>
      </c>
      <c r="E21" s="544">
        <f>'расшифровки ВС_2016'!E262</f>
        <v>0</v>
      </c>
      <c r="F21" s="544">
        <f>'расшифровки ВС_2016'!F262</f>
        <v>8426.7199999999993</v>
      </c>
      <c r="G21" s="544">
        <f>'расшифровки ВС_2016'!G262</f>
        <v>0</v>
      </c>
      <c r="H21" s="544">
        <f>'расшифровки ВС_2016'!H262</f>
        <v>0</v>
      </c>
      <c r="I21" s="544">
        <f>'расшифровки ВС_2016'!I262</f>
        <v>0</v>
      </c>
      <c r="J21" s="544">
        <v>-8426.7199999999993</v>
      </c>
      <c r="K21" s="544">
        <f>'расшифровки ВС_2016'!K262</f>
        <v>0</v>
      </c>
      <c r="L21" s="544">
        <f>'расшифровки ВС_2016'!L262</f>
        <v>0</v>
      </c>
      <c r="M21" s="575">
        <f>'расшифровки ВС_2016'!M262</f>
        <v>7520.625</v>
      </c>
      <c r="N21" s="576"/>
      <c r="O21" s="575"/>
    </row>
    <row r="22" spans="1:17" ht="62.25" customHeight="1" thickTop="1" thickBot="1">
      <c r="A22" s="141" t="s">
        <v>33</v>
      </c>
      <c r="B22" s="141" t="s">
        <v>34</v>
      </c>
      <c r="C22" s="143" t="s">
        <v>11</v>
      </c>
      <c r="D22" s="545">
        <f>D23+D24</f>
        <v>129000.3</v>
      </c>
      <c r="E22" s="545">
        <f t="shared" ref="E22:O22" si="10">E23+E24</f>
        <v>210139.09843222803</v>
      </c>
      <c r="F22" s="545">
        <f t="shared" si="10"/>
        <v>217423.83819531021</v>
      </c>
      <c r="G22" s="545">
        <f t="shared" si="10"/>
        <v>232666.03230837121</v>
      </c>
      <c r="H22" s="545">
        <f t="shared" ref="H22:I22" si="11">H23+H24</f>
        <v>107191.418607</v>
      </c>
      <c r="I22" s="545">
        <f t="shared" si="11"/>
        <v>224365.84756513202</v>
      </c>
      <c r="J22" s="545">
        <f t="shared" si="10"/>
        <v>214820.0702042976</v>
      </c>
      <c r="K22" s="545">
        <f t="shared" si="10"/>
        <v>220274.52633509354</v>
      </c>
      <c r="L22" s="545">
        <f t="shared" si="10"/>
        <v>229746.33096750252</v>
      </c>
      <c r="M22" s="545">
        <f t="shared" si="10"/>
        <v>214820.0702042976</v>
      </c>
      <c r="N22" s="545">
        <f t="shared" si="10"/>
        <v>0</v>
      </c>
      <c r="O22" s="545">
        <f t="shared" si="10"/>
        <v>0</v>
      </c>
    </row>
    <row r="23" spans="1:17" ht="33.75" customHeight="1" thickTop="1" thickBot="1">
      <c r="A23" s="9" t="s">
        <v>35</v>
      </c>
      <c r="B23" s="10" t="s">
        <v>36</v>
      </c>
      <c r="C23" s="11" t="s">
        <v>11</v>
      </c>
      <c r="D23" s="619">
        <f>28287.8+17967.8+52823</f>
        <v>99078.6</v>
      </c>
      <c r="E23" s="619">
        <f>'Зар.плата осн.персонала'!E112</f>
        <v>161397.15701400003</v>
      </c>
      <c r="F23" s="619">
        <f>'Зар.плата осн.персонала'!F150</f>
        <v>166992.19523449324</v>
      </c>
      <c r="G23" s="619">
        <f>'Зар.плата осн.персонала'!G112</f>
        <v>178698.94954560001</v>
      </c>
      <c r="H23" s="619">
        <f>'Зар.плата осн.персонала'!H112</f>
        <v>82328.2785</v>
      </c>
      <c r="I23" s="619">
        <f>'Зар.плата осн.персонала'!I112</f>
        <v>172323.99966600002</v>
      </c>
      <c r="J23" s="619">
        <f>'Зар.плата осн.персонала'!J112</f>
        <v>164992.3734288</v>
      </c>
      <c r="K23" s="619">
        <f>'Зар.плата осн.персонала'!K112</f>
        <v>169181.66385183836</v>
      </c>
      <c r="L23" s="619">
        <f>'Зар.плата осн.персонала'!L112</f>
        <v>176456.47539746738</v>
      </c>
      <c r="M23" s="619">
        <f>'Зар.плата осн.персонала'!M150</f>
        <v>164992.3734288</v>
      </c>
      <c r="N23" s="578">
        <f>'Зар.плата осн.персонала'!N150</f>
        <v>0</v>
      </c>
      <c r="O23" s="577">
        <f>'Зар.плата осн.персонала'!O150</f>
        <v>0</v>
      </c>
    </row>
    <row r="24" spans="1:17" ht="33.75" customHeight="1" thickTop="1" thickBot="1">
      <c r="A24" s="149" t="s">
        <v>37</v>
      </c>
      <c r="B24" s="150" t="s">
        <v>38</v>
      </c>
      <c r="C24" s="151" t="s">
        <v>11</v>
      </c>
      <c r="D24" s="619">
        <f>8542.9+5426.3+15952.5</f>
        <v>29921.7</v>
      </c>
      <c r="E24" s="619">
        <f>'Зар.плата осн.персонала'!E152</f>
        <v>48741.941418228009</v>
      </c>
      <c r="F24" s="619">
        <f>'Зар.плата осн.персонала'!F152</f>
        <v>50431.642960816956</v>
      </c>
      <c r="G24" s="619">
        <f>'Зар.плата осн.персонала'!G152</f>
        <v>53967.082762771199</v>
      </c>
      <c r="H24" s="619">
        <f>'Зар.плата осн.персонала'!H152</f>
        <v>24863.140106999999</v>
      </c>
      <c r="I24" s="619">
        <f>'Зар.плата осн.персонала'!I152</f>
        <v>52041.847899132008</v>
      </c>
      <c r="J24" s="619">
        <f>'Зар.плата осн.персонала'!J152</f>
        <v>49827.696775497599</v>
      </c>
      <c r="K24" s="619">
        <f>'Зар.плата осн.персонала'!K152</f>
        <v>51092.862483255187</v>
      </c>
      <c r="L24" s="619">
        <f>'Зар.плата осн.персонала'!L152</f>
        <v>53289.85557003515</v>
      </c>
      <c r="M24" s="574">
        <f>'Зар.плата осн.персонала'!M152</f>
        <v>49827.696775497599</v>
      </c>
      <c r="N24" s="571">
        <f>'Зар.плата осн.персонала'!N152</f>
        <v>0</v>
      </c>
      <c r="O24" s="574">
        <f>'Зар.плата осн.персонала'!O152</f>
        <v>0</v>
      </c>
    </row>
    <row r="25" spans="1:17" ht="27" thickTop="1" thickBot="1">
      <c r="A25" s="146" t="s">
        <v>40</v>
      </c>
      <c r="B25" s="147" t="s">
        <v>39</v>
      </c>
      <c r="C25" s="148" t="s">
        <v>11</v>
      </c>
      <c r="D25" s="620">
        <f>'расшифровки ВС_2016'!D277</f>
        <v>7134.3047967231996</v>
      </c>
      <c r="E25" s="620">
        <f>'расшифровки ВС_2016'!E277</f>
        <v>6593.4003141701987</v>
      </c>
      <c r="F25" s="620">
        <f>'расшифровки ВС_2016'!F277</f>
        <v>15270.548474879999</v>
      </c>
      <c r="G25" s="620">
        <f>'расшифровки ВС_2016'!G277</f>
        <v>18865.194651292681</v>
      </c>
      <c r="H25" s="620">
        <f>'расшифровки ВС_2016'!H277</f>
        <v>7796.6153129269987</v>
      </c>
      <c r="I25" s="620">
        <f>'расшифровки ВС_2016'!I277</f>
        <v>14224.503886774455</v>
      </c>
      <c r="J25" s="620">
        <f>'расшифровки ВС_2016'!J277</f>
        <v>24529.93735</v>
      </c>
      <c r="K25" s="620">
        <f>'расшифровки ВС_2016'!K277</f>
        <v>11084.6847375</v>
      </c>
      <c r="L25" s="620">
        <f>'расшифровки ВС_2016'!L277</f>
        <v>5542.3423687499999</v>
      </c>
      <c r="M25" s="579">
        <f>'расшифровки ВС_2016'!M277</f>
        <v>22829.93735</v>
      </c>
      <c r="N25" s="580"/>
      <c r="O25" s="579"/>
    </row>
    <row r="26" spans="1:17" ht="17.25" thickTop="1" thickBot="1">
      <c r="A26" s="145" t="s">
        <v>41</v>
      </c>
      <c r="B26" s="376" t="s">
        <v>391</v>
      </c>
      <c r="C26" s="143" t="s">
        <v>11</v>
      </c>
      <c r="D26" s="622">
        <v>5460.95</v>
      </c>
      <c r="E26" s="622">
        <v>23785.78</v>
      </c>
      <c r="F26" s="622">
        <v>50533</v>
      </c>
      <c r="G26" s="622">
        <v>24853</v>
      </c>
      <c r="H26" s="622">
        <f>'Цеховые расходы '!J63</f>
        <v>12507.791422336721</v>
      </c>
      <c r="I26" s="622">
        <f>'Цеховые расходы '!K63</f>
        <v>24877.432215673445</v>
      </c>
      <c r="J26" s="622">
        <f>'Цеховые расходы '!L63</f>
        <v>26101.316212873742</v>
      </c>
      <c r="K26" s="622">
        <f>'Цеховые расходы '!M63</f>
        <v>27313.396548131317</v>
      </c>
      <c r="L26" s="622">
        <f>'Цеховые расходы '!N63</f>
        <v>28427.743100161963</v>
      </c>
      <c r="M26" s="545">
        <f>'Цеховые расходы '!O63</f>
        <v>14929.50682114878</v>
      </c>
      <c r="N26" s="546"/>
      <c r="O26" s="546"/>
    </row>
    <row r="27" spans="1:17" ht="16.5" thickTop="1" thickBot="1">
      <c r="A27" s="145" t="s">
        <v>42</v>
      </c>
      <c r="B27" s="142" t="s">
        <v>43</v>
      </c>
      <c r="C27" s="143" t="s">
        <v>11</v>
      </c>
      <c r="D27" s="621">
        <f>D28+D29+D30+D31</f>
        <v>5785.4</v>
      </c>
      <c r="E27" s="621">
        <f t="shared" ref="E27:L27" si="12">E28+E29+E30+E31</f>
        <v>5697.1114371840049</v>
      </c>
      <c r="F27" s="621">
        <f t="shared" si="12"/>
        <v>1583.56</v>
      </c>
      <c r="G27" s="621">
        <f t="shared" si="12"/>
        <v>12645.120314399999</v>
      </c>
      <c r="H27" s="621">
        <f t="shared" ref="H27:I27" si="13">H28+H29+H30+H31</f>
        <v>6942.5985887999996</v>
      </c>
      <c r="I27" s="621">
        <f t="shared" si="13"/>
        <v>12159.097845599999</v>
      </c>
      <c r="J27" s="621">
        <f t="shared" si="12"/>
        <v>10821.112050592001</v>
      </c>
      <c r="K27" s="621">
        <f t="shared" si="12"/>
        <v>10998.795656887454</v>
      </c>
      <c r="L27" s="621">
        <f t="shared" si="12"/>
        <v>11441.541842098617</v>
      </c>
      <c r="M27" s="575">
        <f>'расшифровки ВС_2016'!M306</f>
        <v>16349.728599999999</v>
      </c>
      <c r="N27" s="576"/>
      <c r="O27" s="575"/>
    </row>
    <row r="28" spans="1:17" ht="27" customHeight="1" thickTop="1">
      <c r="A28" s="9" t="s">
        <v>44</v>
      </c>
      <c r="B28" s="10" t="s">
        <v>1715</v>
      </c>
      <c r="C28" s="11" t="s">
        <v>11</v>
      </c>
      <c r="D28" s="623">
        <f>'расшифровки ВС_2016'!D286</f>
        <v>2485.4</v>
      </c>
      <c r="E28" s="623">
        <f>'расшифровки ВС_2016'!E286</f>
        <v>0</v>
      </c>
      <c r="F28" s="623"/>
      <c r="G28" s="623">
        <f>'расшифровки ВС_2016'!G286</f>
        <v>0</v>
      </c>
      <c r="H28" s="623">
        <f>'расшифровки ВС_2016'!H286</f>
        <v>0</v>
      </c>
      <c r="I28" s="623">
        <f>'расшифровки ВС_2016'!I286</f>
        <v>0</v>
      </c>
      <c r="J28" s="623">
        <f>'расшифровки ВС_2016'!J286</f>
        <v>2677.5</v>
      </c>
      <c r="K28" s="623">
        <f>'расшифровки ВС_2016'!K286</f>
        <v>2701.23</v>
      </c>
      <c r="L28" s="623">
        <f>'расшифровки ВС_2016'!L286</f>
        <v>2985.36</v>
      </c>
      <c r="M28" s="567">
        <f>'расшифровки ВС_2016'!M286</f>
        <v>2677.5</v>
      </c>
      <c r="N28" s="568"/>
      <c r="O28" s="567"/>
    </row>
    <row r="29" spans="1:17" ht="24" customHeight="1">
      <c r="A29" s="14" t="s">
        <v>45</v>
      </c>
      <c r="B29" s="12" t="s">
        <v>46</v>
      </c>
      <c r="C29" s="13" t="s">
        <v>11</v>
      </c>
      <c r="D29" s="625">
        <v>2300</v>
      </c>
      <c r="E29" s="625">
        <f>'расшифровки ВС_2016'!E387</f>
        <v>2400</v>
      </c>
      <c r="F29" s="625"/>
      <c r="G29" s="2856">
        <f>'расшифровки ВС_2016'!G387</f>
        <v>9840.1203143999992</v>
      </c>
      <c r="H29" s="2856">
        <f>'расшифровки ВС_2016'!H387</f>
        <v>5891.1239999999998</v>
      </c>
      <c r="I29" s="2856">
        <f>'расшифровки ВС_2016'!I387</f>
        <v>10056.148668</v>
      </c>
      <c r="J29" s="2856">
        <f>'расшифровки ВС_2016'!J387</f>
        <v>5946.0301600000003</v>
      </c>
      <c r="K29" s="2856">
        <f>'расшифровки ВС_2016'!K387</f>
        <v>6005.4877449999994</v>
      </c>
      <c r="L29" s="2856">
        <f>'расшифровки ВС_2016'!L387</f>
        <v>6065.5445799999998</v>
      </c>
      <c r="M29" s="1320">
        <v>0</v>
      </c>
      <c r="N29" s="582"/>
      <c r="O29" s="581"/>
      <c r="P29" t="s">
        <v>1716</v>
      </c>
    </row>
    <row r="30" spans="1:17">
      <c r="A30" s="14" t="s">
        <v>47</v>
      </c>
      <c r="B30" s="12" t="s">
        <v>1031</v>
      </c>
      <c r="C30" s="13" t="s">
        <v>11</v>
      </c>
      <c r="D30" s="625">
        <v>1000</v>
      </c>
      <c r="E30" s="625">
        <f>'расшифровки ВС_2016'!E291</f>
        <v>3297.1114371840054</v>
      </c>
      <c r="F30" s="625">
        <f>'расшифровки ВС_2016'!F291</f>
        <v>1583.56</v>
      </c>
      <c r="G30" s="625">
        <f>'расшифровки ВС_2016'!G291</f>
        <v>2805</v>
      </c>
      <c r="H30" s="625">
        <f>'расшифровки ВС_2016'!H291</f>
        <v>1051.4745887999998</v>
      </c>
      <c r="I30" s="625">
        <f>'расшифровки ВС_2016'!I291</f>
        <v>2102.9491775999995</v>
      </c>
      <c r="J30" s="625">
        <f>'расшифровки ВС_2016'!J291</f>
        <v>2197.5818905919996</v>
      </c>
      <c r="K30" s="625">
        <f>'расшифровки ВС_2016'!K291</f>
        <v>2292.0779118874552</v>
      </c>
      <c r="L30" s="625">
        <f>'расшифровки ВС_2016'!L291</f>
        <v>2390.6372620986158</v>
      </c>
      <c r="M30" s="581">
        <f>'расшифровки ВС_2016'!M291</f>
        <v>2102.9499999999998</v>
      </c>
      <c r="N30" s="582"/>
      <c r="O30" s="581"/>
    </row>
    <row r="31" spans="1:17" ht="57.75" customHeight="1" thickBot="1">
      <c r="A31" s="15" t="s">
        <v>48</v>
      </c>
      <c r="B31" s="10" t="s">
        <v>1281</v>
      </c>
      <c r="C31" s="17" t="s">
        <v>11</v>
      </c>
      <c r="D31" s="626">
        <f>'расшифровки ВС_2016'!D292</f>
        <v>0</v>
      </c>
      <c r="E31" s="626">
        <f>'расшифровки ВС_2016'!E292</f>
        <v>0</v>
      </c>
      <c r="F31" s="626"/>
      <c r="G31" s="626">
        <f>'расшифровки ВС_2016'!G292</f>
        <v>0</v>
      </c>
      <c r="H31" s="626">
        <f>'расшифровки ВС_2016'!H292</f>
        <v>0</v>
      </c>
      <c r="I31" s="626">
        <f>'расшифровки ВС_2016'!I292</f>
        <v>0</v>
      </c>
      <c r="J31" s="626">
        <f>'расшифровки ВС_2016'!J292</f>
        <v>0</v>
      </c>
      <c r="K31" s="626">
        <f>'расшифровки ВС_2016'!K292</f>
        <v>0</v>
      </c>
      <c r="L31" s="626">
        <f>'расшифровки ВС_2016'!L292</f>
        <v>0</v>
      </c>
      <c r="M31" s="652">
        <f>'расшифровки ВС_2016'!M305</f>
        <v>11569.278599999998</v>
      </c>
      <c r="N31" s="653"/>
      <c r="O31" s="652"/>
    </row>
    <row r="32" spans="1:17" ht="15.75" thickBot="1">
      <c r="A32" s="18" t="s">
        <v>50</v>
      </c>
      <c r="B32" s="7" t="s">
        <v>51</v>
      </c>
      <c r="C32" s="19" t="s">
        <v>11</v>
      </c>
      <c r="D32" s="654">
        <f>D33+D34+D35</f>
        <v>98104.386206896539</v>
      </c>
      <c r="E32" s="654">
        <f t="shared" ref="E32:L32" si="14">E33+E34+E35</f>
        <v>56556.105212640003</v>
      </c>
      <c r="F32" s="654">
        <f t="shared" si="14"/>
        <v>23682.772358400001</v>
      </c>
      <c r="G32" s="654">
        <f t="shared" si="14"/>
        <v>57621.449359999999</v>
      </c>
      <c r="H32" s="654">
        <f t="shared" ref="H32:I32" si="15">H33+H34+H35</f>
        <v>23333.767888799997</v>
      </c>
      <c r="I32" s="654">
        <f t="shared" si="15"/>
        <v>57663.659939600002</v>
      </c>
      <c r="J32" s="654">
        <f t="shared" si="14"/>
        <v>106026.188156</v>
      </c>
      <c r="K32" s="654">
        <f t="shared" si="14"/>
        <v>106525.680969708</v>
      </c>
      <c r="L32" s="654">
        <f t="shared" si="14"/>
        <v>93082.012137405443</v>
      </c>
      <c r="M32" s="654">
        <f>M33+M34+M35</f>
        <v>59348.684151000016</v>
      </c>
      <c r="N32" s="654"/>
      <c r="O32" s="654"/>
    </row>
    <row r="33" spans="1:15" ht="52.5" customHeight="1" thickBot="1">
      <c r="A33" s="138" t="s">
        <v>52</v>
      </c>
      <c r="B33" s="139" t="s">
        <v>520</v>
      </c>
      <c r="C33" s="140" t="s">
        <v>11</v>
      </c>
      <c r="D33" s="627">
        <f>'расшифровки ВС_2016'!D313</f>
        <v>13627.8</v>
      </c>
      <c r="E33" s="627">
        <f>'расшифровки ВС_2016'!E313</f>
        <v>9338.6</v>
      </c>
      <c r="F33" s="627">
        <f>'расшифровки ВС_2016'!F313</f>
        <v>16415.400000000001</v>
      </c>
      <c r="G33" s="627">
        <f>'расшифровки ВС_2016'!G313</f>
        <v>16415.400000000001</v>
      </c>
      <c r="H33" s="627">
        <f>'расшифровки ВС_2016'!H313</f>
        <v>3832.0311359999992</v>
      </c>
      <c r="I33" s="627">
        <f>'расшифровки ВС_2016'!I313</f>
        <v>16415.400000000001</v>
      </c>
      <c r="J33" s="627">
        <f>'расшифровки ВС_2016'!J313</f>
        <v>18246.560000000001</v>
      </c>
      <c r="K33" s="627">
        <f>'расшифровки ВС_2016'!K313</f>
        <v>19031.16</v>
      </c>
      <c r="L33" s="627">
        <f>'расшифровки ВС_2016'!L313</f>
        <v>19836.68</v>
      </c>
      <c r="M33" s="565">
        <f>'расшифровки ВС_2016'!M313</f>
        <v>6932.6614800000007</v>
      </c>
      <c r="N33" s="566"/>
      <c r="O33" s="565"/>
    </row>
    <row r="34" spans="1:15" ht="51.75" customHeight="1" thickTop="1" thickBot="1">
      <c r="A34" s="145" t="s">
        <v>54</v>
      </c>
      <c r="B34" s="1785" t="s">
        <v>521</v>
      </c>
      <c r="C34" s="143" t="s">
        <v>11</v>
      </c>
      <c r="D34" s="621">
        <f>'расшифровки ВС_2016'!D321</f>
        <v>80028.299999999988</v>
      </c>
      <c r="E34" s="621">
        <f>'расшифровки ВС_2016'!E321</f>
        <v>40362.868000000002</v>
      </c>
      <c r="F34" s="621">
        <v>0</v>
      </c>
      <c r="G34" s="621">
        <f>'расшифровки ВС_2016'!G321</f>
        <v>33794.18</v>
      </c>
      <c r="H34" s="621">
        <f>'расшифровки ВС_2016'!H321</f>
        <v>15733.232639999998</v>
      </c>
      <c r="I34" s="621">
        <f>'расшифровки ВС_2016'!I321</f>
        <v>33794.18</v>
      </c>
      <c r="J34" s="621">
        <f>'расшифровки ВС_2016'!J321</f>
        <v>80027.679000000004</v>
      </c>
      <c r="K34" s="621">
        <f>'расшифровки ВС_2016'!K321</f>
        <v>79409.237999999998</v>
      </c>
      <c r="L34" s="621">
        <f>'расшифровки ВС_2016'!L321</f>
        <v>64812.381999999998</v>
      </c>
      <c r="M34" s="2857">
        <f>'расшифровки ВС_2016'!M321</f>
        <v>44664.073515000011</v>
      </c>
      <c r="N34" s="576"/>
      <c r="O34" s="572"/>
    </row>
    <row r="35" spans="1:15" ht="39.75" thickTop="1" thickBot="1">
      <c r="A35" s="145" t="s">
        <v>56</v>
      </c>
      <c r="B35" s="142" t="s">
        <v>57</v>
      </c>
      <c r="C35" s="143" t="s">
        <v>11</v>
      </c>
      <c r="D35" s="621">
        <f>D36+D37</f>
        <v>4448.2862068965514</v>
      </c>
      <c r="E35" s="621">
        <f t="shared" ref="E35:G35" si="16">E36+E37</f>
        <v>6854.6372126400001</v>
      </c>
      <c r="F35" s="621">
        <f t="shared" si="16"/>
        <v>7267.372358399999</v>
      </c>
      <c r="G35" s="621">
        <f t="shared" si="16"/>
        <v>7411.8693600000006</v>
      </c>
      <c r="H35" s="621">
        <f t="shared" ref="H35:L35" si="17">H36+H37</f>
        <v>3768.5041128000007</v>
      </c>
      <c r="I35" s="621">
        <f t="shared" si="17"/>
        <v>7454.0799396000011</v>
      </c>
      <c r="J35" s="621">
        <f t="shared" si="17"/>
        <v>7751.9491559999997</v>
      </c>
      <c r="K35" s="621">
        <f t="shared" si="17"/>
        <v>8085.2829697079997</v>
      </c>
      <c r="L35" s="621">
        <f t="shared" si="17"/>
        <v>8432.9501374054416</v>
      </c>
      <c r="M35" s="1393">
        <f t="shared" ref="M35" si="18">M36+M37</f>
        <v>7751.9491559999997</v>
      </c>
      <c r="N35" s="576">
        <f t="shared" ref="N35:O35" si="19">N36+N37</f>
        <v>0</v>
      </c>
      <c r="O35" s="575">
        <f t="shared" si="19"/>
        <v>0</v>
      </c>
    </row>
    <row r="36" spans="1:15" ht="27" thickTop="1" thickBot="1">
      <c r="A36" s="9" t="s">
        <v>58</v>
      </c>
      <c r="B36" s="10" t="s">
        <v>59</v>
      </c>
      <c r="C36" s="11" t="s">
        <v>11</v>
      </c>
      <c r="D36" s="623">
        <f>D23/87*3</f>
        <v>3416.503448275862</v>
      </c>
      <c r="E36" s="623">
        <f>'Зар.плата осн.персонала'!E196</f>
        <v>5264.6983200000004</v>
      </c>
      <c r="F36" s="623">
        <f>'Зар.плата осн.персонала'!F217</f>
        <v>5581.6991999999991</v>
      </c>
      <c r="G36" s="623">
        <f>'Зар.плата осн.персонала'!G221</f>
        <v>5692.68</v>
      </c>
      <c r="H36" s="623">
        <f>'Зар.плата осн.персонала'!H221</f>
        <v>2894.3964000000005</v>
      </c>
      <c r="I36" s="623">
        <f>'Зар.плата осн.персонала'!I221</f>
        <v>5725.0998000000009</v>
      </c>
      <c r="J36" s="623">
        <f>'Зар.плата осн.персонала'!J221</f>
        <v>5953.8779999999997</v>
      </c>
      <c r="K36" s="623">
        <f>'Зар.плата осн.персонала'!K221</f>
        <v>6209.8947539999999</v>
      </c>
      <c r="L36" s="623">
        <f>'Зар.плата осн.персонала'!L221</f>
        <v>6476.9202284219982</v>
      </c>
      <c r="M36" s="2884">
        <f>'Зар.плата осн.персонала'!M221</f>
        <v>5953.8779999999997</v>
      </c>
      <c r="N36" s="568">
        <f>'Зар.плата осн.персонала'!N221</f>
        <v>0</v>
      </c>
      <c r="O36" s="567">
        <f>'Зар.плата осн.персонала'!O221</f>
        <v>0</v>
      </c>
    </row>
    <row r="37" spans="1:15" ht="39" thickBot="1">
      <c r="A37" s="15" t="s">
        <v>60</v>
      </c>
      <c r="B37" s="16" t="s">
        <v>61</v>
      </c>
      <c r="C37" s="17" t="s">
        <v>11</v>
      </c>
      <c r="D37" s="626">
        <f>D24/87*3</f>
        <v>1031.7827586206895</v>
      </c>
      <c r="E37" s="626">
        <f>'Зар.плата осн.персонала'!E223</f>
        <v>1589.9388926399999</v>
      </c>
      <c r="F37" s="626">
        <f>'Зар.плата осн.персонала'!F223</f>
        <v>1685.6731583999997</v>
      </c>
      <c r="G37" s="626">
        <f>'расшифровки ВС_2016'!G330</f>
        <v>1719.1893600000001</v>
      </c>
      <c r="H37" s="626">
        <f>'Зар.плата осн.персонала'!H223</f>
        <v>874.10771280000017</v>
      </c>
      <c r="I37" s="626">
        <f>'Зар.плата осн.персонала'!I223</f>
        <v>1728.9801396</v>
      </c>
      <c r="J37" s="626">
        <f>'Зар.плата осн.персонала'!J223</f>
        <v>1798.071156</v>
      </c>
      <c r="K37" s="626">
        <f>'Зар.плата осн.персонала'!K223</f>
        <v>1875.388215708</v>
      </c>
      <c r="L37" s="626">
        <f>'Зар.плата осн.персонала'!L223</f>
        <v>1956.0299089834434</v>
      </c>
      <c r="M37" s="2886">
        <f>'Зар.плата осн.персонала'!M223</f>
        <v>1798.071156</v>
      </c>
      <c r="N37" s="583">
        <f>'Зар.плата осн.персонала'!N223</f>
        <v>0</v>
      </c>
      <c r="O37" s="569">
        <f>'Зар.плата осн.персонала'!O223</f>
        <v>0</v>
      </c>
    </row>
    <row r="38" spans="1:15" ht="15.75" thickBot="1">
      <c r="A38" s="20" t="s">
        <v>62</v>
      </c>
      <c r="B38" s="7" t="s">
        <v>63</v>
      </c>
      <c r="C38" s="7" t="s">
        <v>11</v>
      </c>
      <c r="D38" s="628">
        <f>D39+D48+D51+D52+D53+D54+D55+D63</f>
        <v>31247.05</v>
      </c>
      <c r="E38" s="628">
        <f>E39+E48+E51+E52+E53+E54+E55+E63</f>
        <v>61862.961999999992</v>
      </c>
      <c r="F38" s="628">
        <f>F39+F48+F51+F52+F53+F54+F55</f>
        <v>42546.91</v>
      </c>
      <c r="G38" s="628">
        <f t="shared" ref="G38:L38" si="20">G39+G48+G51+G52+G53+G54+G55+G63</f>
        <v>61786.703489999993</v>
      </c>
      <c r="H38" s="628">
        <f t="shared" si="20"/>
        <v>28618.9624463</v>
      </c>
      <c r="I38" s="628">
        <f t="shared" si="20"/>
        <v>54614.066476599997</v>
      </c>
      <c r="J38" s="628">
        <f t="shared" si="20"/>
        <v>58645.856583069995</v>
      </c>
      <c r="K38" s="628">
        <f t="shared" si="20"/>
        <v>56422.084415778008</v>
      </c>
      <c r="L38" s="628">
        <f t="shared" si="20"/>
        <v>56585.797533843681</v>
      </c>
      <c r="M38" s="2885">
        <f>M39+M48+M51+M52+M54+M53+M55+M61</f>
        <v>45839.662358372181</v>
      </c>
      <c r="N38" s="628">
        <f>N39+N48+N51+N52+N53+N54+N55+N63</f>
        <v>0</v>
      </c>
      <c r="O38" s="628">
        <f>O39+O48+O51+O52+O53+O54+O55+O63</f>
        <v>0</v>
      </c>
    </row>
    <row r="39" spans="1:15" ht="30" customHeight="1" thickBot="1">
      <c r="A39" s="173" t="s">
        <v>64</v>
      </c>
      <c r="B39" s="153" t="s">
        <v>65</v>
      </c>
      <c r="C39" s="154" t="s">
        <v>11</v>
      </c>
      <c r="D39" s="629">
        <f>SUM(D40:D46)</f>
        <v>8054.85</v>
      </c>
      <c r="E39" s="629">
        <f t="shared" ref="E39:O39" si="21">SUM(E40:E46)</f>
        <v>5713.3799999999992</v>
      </c>
      <c r="F39" s="629">
        <f t="shared" si="21"/>
        <v>3810.5699999999997</v>
      </c>
      <c r="G39" s="629">
        <f>SUM(G40:G46)</f>
        <v>3496.11</v>
      </c>
      <c r="H39" s="629">
        <f>SUM(H40:H46)</f>
        <v>1799.050712</v>
      </c>
      <c r="I39" s="629">
        <f t="shared" ref="I39" si="22">SUM(I40:I46)</f>
        <v>0</v>
      </c>
      <c r="J39" s="629">
        <f t="shared" si="21"/>
        <v>7215.1309119999996</v>
      </c>
      <c r="K39" s="629">
        <f t="shared" si="21"/>
        <v>0</v>
      </c>
      <c r="L39" s="629">
        <f t="shared" si="21"/>
        <v>0</v>
      </c>
      <c r="M39" s="2883">
        <f>SUM(M40:M47)</f>
        <v>4465.7121257492799</v>
      </c>
      <c r="N39" s="629">
        <f t="shared" si="21"/>
        <v>0</v>
      </c>
      <c r="O39" s="629">
        <f t="shared" si="21"/>
        <v>0</v>
      </c>
    </row>
    <row r="40" spans="1:15" ht="15.75" thickTop="1">
      <c r="A40" s="21" t="s">
        <v>66</v>
      </c>
      <c r="B40" s="10" t="s">
        <v>67</v>
      </c>
      <c r="C40" s="3" t="s">
        <v>11</v>
      </c>
      <c r="D40" s="623">
        <v>1340</v>
      </c>
      <c r="E40" s="623">
        <v>1106.83</v>
      </c>
      <c r="F40" s="623">
        <v>849</v>
      </c>
      <c r="G40" s="623">
        <v>1156.6400000000001</v>
      </c>
      <c r="H40" s="623">
        <f>'Админ. расх. (2)'!O11*0.59</f>
        <v>519.5994359</v>
      </c>
      <c r="I40" s="623">
        <f>'Админ. расх. (2)'!R11</f>
        <v>0</v>
      </c>
      <c r="J40" s="623">
        <f>'Админ. расх. (2)'!Q11</f>
        <v>1840.6149508999999</v>
      </c>
      <c r="K40" s="623">
        <f>'Админ. расх. (2)'!U11</f>
        <v>0</v>
      </c>
      <c r="L40" s="624">
        <f>'Админ. расх. (2)'!X11</f>
        <v>0</v>
      </c>
      <c r="M40" s="577">
        <f>'Админ. расх. (2)'!AA11</f>
        <v>1036.2662173566998</v>
      </c>
      <c r="N40" s="578"/>
      <c r="O40" s="577"/>
    </row>
    <row r="41" spans="1:15">
      <c r="A41" s="22" t="s">
        <v>68</v>
      </c>
      <c r="B41" s="12" t="s">
        <v>69</v>
      </c>
      <c r="C41" s="3" t="s">
        <v>11</v>
      </c>
      <c r="D41" s="623">
        <v>1218</v>
      </c>
      <c r="E41" s="623">
        <v>412.52</v>
      </c>
      <c r="F41" s="623">
        <v>1002</v>
      </c>
      <c r="G41" s="623">
        <v>431.08</v>
      </c>
      <c r="H41" s="623">
        <f>'Админ. расх. (2)'!O12*0.59</f>
        <v>126.89235019999998</v>
      </c>
      <c r="I41" s="623">
        <f>'Админ. расх. (2)'!R12</f>
        <v>0</v>
      </c>
      <c r="J41" s="623">
        <f>'Админ. расх. (2)'!Q12</f>
        <v>449.50002019999994</v>
      </c>
      <c r="K41" s="623">
        <f>'Админ. расх. (2)'!U12</f>
        <v>0</v>
      </c>
      <c r="L41" s="624">
        <f>'Админ. расх. (2)'!X12</f>
        <v>0</v>
      </c>
      <c r="M41" s="577">
        <f>'Админ. расх. (2)'!AA12</f>
        <v>253.06851137259994</v>
      </c>
      <c r="N41" s="582"/>
      <c r="O41" s="581"/>
    </row>
    <row r="42" spans="1:15">
      <c r="A42" s="22" t="s">
        <v>70</v>
      </c>
      <c r="B42" s="12" t="s">
        <v>71</v>
      </c>
      <c r="C42" s="3" t="s">
        <v>11</v>
      </c>
      <c r="D42" s="623">
        <v>696</v>
      </c>
      <c r="E42" s="623">
        <v>662.16</v>
      </c>
      <c r="F42" s="623">
        <v>675.6</v>
      </c>
      <c r="G42" s="623">
        <v>504</v>
      </c>
      <c r="H42" s="623">
        <f>'Админ. расх. (2)'!O13*0.59</f>
        <v>0</v>
      </c>
      <c r="I42" s="623">
        <f>'Админ. расх. (2)'!R13</f>
        <v>0</v>
      </c>
      <c r="J42" s="623">
        <f>'Админ. расх. (2)'!Q13</f>
        <v>1541.375</v>
      </c>
      <c r="K42" s="623">
        <f>'Админ. расх. (2)'!U13</f>
        <v>0</v>
      </c>
      <c r="L42" s="624">
        <f>'Админ. расх. (2)'!X13</f>
        <v>0</v>
      </c>
      <c r="M42" s="577">
        <f>'Админ. расх. (2)'!AA13</f>
        <v>852.01604999999995</v>
      </c>
      <c r="N42" s="582"/>
      <c r="O42" s="581"/>
    </row>
    <row r="43" spans="1:15">
      <c r="A43" s="22" t="s">
        <v>72</v>
      </c>
      <c r="B43" s="12" t="s">
        <v>73</v>
      </c>
      <c r="C43" s="3" t="s">
        <v>11</v>
      </c>
      <c r="D43" s="623">
        <v>378.15</v>
      </c>
      <c r="E43" s="623">
        <v>860.65</v>
      </c>
      <c r="F43" s="623">
        <v>0</v>
      </c>
      <c r="G43" s="623">
        <v>273.83</v>
      </c>
      <c r="H43" s="623">
        <f>'Админ. расх. (2)'!O14*0.59</f>
        <v>155.38660670000002</v>
      </c>
      <c r="I43" s="623">
        <f>'Админ. расх. (2)'!R14</f>
        <v>0</v>
      </c>
      <c r="J43" s="623">
        <f>'Админ. расх. (2)'!Q14</f>
        <v>550.43730170000003</v>
      </c>
      <c r="K43" s="623">
        <f>'Админ. расх. (2)'!U14</f>
        <v>0</v>
      </c>
      <c r="L43" s="624">
        <f>'Админ. расх. (2)'!X14</f>
        <v>0</v>
      </c>
      <c r="M43" s="577">
        <f>'Админ. расх. (2)'!AA14</f>
        <v>309.89620085709998</v>
      </c>
      <c r="N43" s="582"/>
      <c r="O43" s="581"/>
    </row>
    <row r="44" spans="1:15" ht="25.5">
      <c r="A44" s="22" t="s">
        <v>74</v>
      </c>
      <c r="B44" s="12" t="s">
        <v>75</v>
      </c>
      <c r="C44" s="3" t="s">
        <v>11</v>
      </c>
      <c r="D44" s="623">
        <v>359.6</v>
      </c>
      <c r="E44" s="623">
        <f>'Админ. расх. (2)'!G15*0.59</f>
        <v>412.40999999999997</v>
      </c>
      <c r="F44" s="623">
        <v>413.81</v>
      </c>
      <c r="G44" s="623">
        <v>260.39999999999998</v>
      </c>
      <c r="H44" s="623">
        <f>'Админ. расх. (2)'!O15*0.59</f>
        <v>0</v>
      </c>
      <c r="I44" s="623">
        <f>'Админ. расх. (2)'!R15</f>
        <v>0</v>
      </c>
      <c r="J44" s="623">
        <f>'Админ. расх. (2)'!Q15</f>
        <v>0</v>
      </c>
      <c r="K44" s="623">
        <f>'Админ. расх. (2)'!U15</f>
        <v>0</v>
      </c>
      <c r="L44" s="624">
        <f>'Админ. расх. (2)'!X15</f>
        <v>0</v>
      </c>
      <c r="M44" s="577">
        <f>'Админ. расх. (2)'!AA15</f>
        <v>0</v>
      </c>
      <c r="N44" s="582"/>
      <c r="O44" s="581"/>
    </row>
    <row r="45" spans="1:15">
      <c r="A45" s="22" t="s">
        <v>76</v>
      </c>
      <c r="B45" s="12" t="s">
        <v>77</v>
      </c>
      <c r="C45" s="3" t="s">
        <v>11</v>
      </c>
      <c r="D45" s="623">
        <v>849.7</v>
      </c>
      <c r="E45" s="623">
        <v>847.81</v>
      </c>
      <c r="F45" s="623">
        <v>870.16</v>
      </c>
      <c r="G45" s="623">
        <v>870.16</v>
      </c>
      <c r="H45" s="623">
        <f>'Админ. расх. (2)'!O16*0.59</f>
        <v>427.1723192</v>
      </c>
      <c r="I45" s="623">
        <f>'Админ. расх. (2)'!R16</f>
        <v>0</v>
      </c>
      <c r="J45" s="623">
        <f>'Админ. расх. (2)'!Q16</f>
        <v>1513.2036392</v>
      </c>
      <c r="K45" s="623">
        <f>'Админ. расх. (2)'!U16</f>
        <v>0</v>
      </c>
      <c r="L45" s="624">
        <f>'Админ. расх. (2)'!X16</f>
        <v>0</v>
      </c>
      <c r="M45" s="577">
        <f>'Админ. расх. (2)'!AA16</f>
        <v>836.44394616287991</v>
      </c>
      <c r="N45" s="582"/>
      <c r="O45" s="581"/>
    </row>
    <row r="46" spans="1:15" ht="15.75" thickBot="1">
      <c r="A46" s="174" t="s">
        <v>78</v>
      </c>
      <c r="B46" s="150" t="s">
        <v>1718</v>
      </c>
      <c r="C46" s="152" t="s">
        <v>11</v>
      </c>
      <c r="D46" s="623">
        <f>'Админ. расх. (2)'!D18</f>
        <v>3213.4</v>
      </c>
      <c r="E46" s="623">
        <f>'Админ. расх. (2)'!G18</f>
        <v>1411</v>
      </c>
      <c r="F46" s="623">
        <v>0</v>
      </c>
      <c r="G46" s="623" t="s">
        <v>1492</v>
      </c>
      <c r="H46" s="623">
        <f>'Админ. расх. (2)'!O18</f>
        <v>570</v>
      </c>
      <c r="I46" s="623">
        <f>'Админ. расх. (2)'!R17</f>
        <v>0</v>
      </c>
      <c r="J46" s="623">
        <f>'Админ. расх. (2)'!Q18</f>
        <v>1320</v>
      </c>
      <c r="K46" s="623"/>
      <c r="L46" s="625"/>
      <c r="M46" s="2882">
        <f>'Админ. расх. (2)'!AA18</f>
        <v>731.9</v>
      </c>
      <c r="N46" s="584"/>
      <c r="O46" s="585"/>
    </row>
    <row r="47" spans="1:15" ht="16.5" thickTop="1" thickBot="1">
      <c r="A47" s="174" t="s">
        <v>1725</v>
      </c>
      <c r="B47" s="2878" t="s">
        <v>1724</v>
      </c>
      <c r="C47" s="152" t="s">
        <v>11</v>
      </c>
      <c r="D47" s="2879"/>
      <c r="E47" s="2879"/>
      <c r="F47" s="2879"/>
      <c r="G47" s="2879"/>
      <c r="H47" s="2879"/>
      <c r="I47" s="2879"/>
      <c r="J47" s="2879"/>
      <c r="K47" s="2879"/>
      <c r="L47" s="2880"/>
      <c r="M47" s="2882">
        <f>'Админ. расх. (2)'!AA19</f>
        <v>446.12119999999993</v>
      </c>
      <c r="N47" s="2881"/>
      <c r="O47" s="2881"/>
    </row>
    <row r="48" spans="1:15" ht="52.5" thickTop="1" thickBot="1">
      <c r="A48" s="175" t="s">
        <v>80</v>
      </c>
      <c r="B48" s="142" t="s">
        <v>81</v>
      </c>
      <c r="C48" s="144" t="s">
        <v>11</v>
      </c>
      <c r="D48" s="621">
        <f>D49+D50</f>
        <v>10071.59</v>
      </c>
      <c r="E48" s="621">
        <f t="shared" ref="E48:O48" si="23">E49+E50</f>
        <v>36891.760000000002</v>
      </c>
      <c r="F48" s="621">
        <f t="shared" si="23"/>
        <v>29868.17</v>
      </c>
      <c r="G48" s="621">
        <f t="shared" si="23"/>
        <v>31472.329999999998</v>
      </c>
      <c r="H48" s="621">
        <f t="shared" ref="H48:I48" si="24">H49+H50</f>
        <v>11586.371706</v>
      </c>
      <c r="I48" s="621">
        <f t="shared" si="24"/>
        <v>24117.284519999997</v>
      </c>
      <c r="J48" s="621">
        <f t="shared" si="23"/>
        <v>26482.872696000002</v>
      </c>
      <c r="K48" s="621">
        <f t="shared" si="23"/>
        <v>27716.861212424999</v>
      </c>
      <c r="L48" s="621">
        <f t="shared" si="23"/>
        <v>28908.686244559274</v>
      </c>
      <c r="M48" s="621">
        <f>M49+M50</f>
        <v>31183.354445727775</v>
      </c>
      <c r="N48" s="621">
        <f t="shared" si="23"/>
        <v>0</v>
      </c>
      <c r="O48" s="621">
        <f t="shared" si="23"/>
        <v>0</v>
      </c>
    </row>
    <row r="49" spans="1:16" ht="37.5" customHeight="1" thickTop="1">
      <c r="A49" s="21" t="s">
        <v>82</v>
      </c>
      <c r="B49" s="10" t="s">
        <v>83</v>
      </c>
      <c r="C49" s="3" t="s">
        <v>11</v>
      </c>
      <c r="D49" s="623">
        <v>8388.34</v>
      </c>
      <c r="E49" s="623">
        <v>21766.14</v>
      </c>
      <c r="F49" s="623">
        <v>22940</v>
      </c>
      <c r="G49" s="623">
        <v>24172.3</v>
      </c>
      <c r="H49" s="623">
        <f>'Зар.плата осн.персонала'!H92/1000/2</f>
        <v>8898.9030000000002</v>
      </c>
      <c r="I49" s="623">
        <f>'Зар.плата осн.персонала'!I92/1000/2</f>
        <v>18523.259999999998</v>
      </c>
      <c r="J49" s="623">
        <f>'Зар.плата осн.персонала'!J92/1000/2</f>
        <v>20340.148000000001</v>
      </c>
      <c r="K49" s="623">
        <f>'Зар.плата осн.персонала'!K92/1000/2</f>
        <v>21287.9118375</v>
      </c>
      <c r="L49" s="623">
        <f>'Зар.плата осн.персонала'!L92/1000/2</f>
        <v>22203.292046512499</v>
      </c>
      <c r="M49" s="1321">
        <f>'Админ. расх. (2)'!AA22</f>
        <v>23950.349036657277</v>
      </c>
      <c r="N49" s="578"/>
      <c r="O49" s="577"/>
    </row>
    <row r="50" spans="1:16" ht="39" thickBot="1">
      <c r="A50" s="174" t="s">
        <v>85</v>
      </c>
      <c r="B50" s="150" t="s">
        <v>84</v>
      </c>
      <c r="C50" s="152" t="s">
        <v>11</v>
      </c>
      <c r="D50" s="630">
        <v>1683.25</v>
      </c>
      <c r="E50" s="630">
        <v>15125.62</v>
      </c>
      <c r="F50" s="630">
        <v>6928.17</v>
      </c>
      <c r="G50" s="630">
        <v>7300.03</v>
      </c>
      <c r="H50" s="630">
        <f>H49*0.302</f>
        <v>2687.4687060000001</v>
      </c>
      <c r="I50" s="630">
        <f t="shared" ref="I50:L50" si="25">I49*0.302</f>
        <v>5594.024519999999</v>
      </c>
      <c r="J50" s="630">
        <f t="shared" si="25"/>
        <v>6142.7246960000002</v>
      </c>
      <c r="K50" s="630">
        <f t="shared" si="25"/>
        <v>6428.9493749249996</v>
      </c>
      <c r="L50" s="630">
        <f t="shared" si="25"/>
        <v>6705.3941980467744</v>
      </c>
      <c r="M50" s="1322">
        <f>'Админ. расх. (2)'!AA40</f>
        <v>7233.005409070498</v>
      </c>
      <c r="N50" s="584"/>
      <c r="O50" s="585"/>
    </row>
    <row r="51" spans="1:16" ht="78" thickTop="1" thickBot="1">
      <c r="A51" s="175" t="s">
        <v>86</v>
      </c>
      <c r="B51" s="142" t="s">
        <v>1296</v>
      </c>
      <c r="C51" s="144" t="s">
        <v>11</v>
      </c>
      <c r="D51" s="631">
        <v>34</v>
      </c>
      <c r="E51" s="631">
        <v>0</v>
      </c>
      <c r="F51" s="631">
        <v>6.5</v>
      </c>
      <c r="G51" s="631">
        <v>36.99</v>
      </c>
      <c r="H51" s="631">
        <f>'Админ. расх. (2)'!O43*0.59</f>
        <v>3.3983999999999996</v>
      </c>
      <c r="I51" s="631">
        <f>'Админ. расх. (2)'!P43*0.59</f>
        <v>6.7967999999999993</v>
      </c>
      <c r="J51" s="631">
        <f>'Админ. расх. (2)'!R43</f>
        <v>0</v>
      </c>
      <c r="K51" s="631">
        <f>'Админ. расх. (2)'!U43</f>
        <v>0</v>
      </c>
      <c r="L51" s="632">
        <f>'Админ. расх. (2)'!X43</f>
        <v>0</v>
      </c>
      <c r="M51" s="1323">
        <f>'Админ. расх. (2)'!AA43</f>
        <v>6.7776191999999993</v>
      </c>
      <c r="N51" s="587"/>
      <c r="O51" s="586"/>
    </row>
    <row r="52" spans="1:16" ht="16.5" thickTop="1" thickBot="1">
      <c r="A52" s="195" t="s">
        <v>88</v>
      </c>
      <c r="B52" s="142" t="s">
        <v>89</v>
      </c>
      <c r="C52" s="144" t="s">
        <v>11</v>
      </c>
      <c r="D52" s="631">
        <v>530.62</v>
      </c>
      <c r="E52" s="631">
        <v>500.22</v>
      </c>
      <c r="F52" s="631">
        <v>296.98</v>
      </c>
      <c r="G52" s="631">
        <v>522.73</v>
      </c>
      <c r="H52" s="631">
        <f>'Админ. расх. (2)'!O44*0.59</f>
        <v>198.43887720000001</v>
      </c>
      <c r="I52" s="631">
        <f>'Админ. расх. (2)'!P44*0.59</f>
        <v>396.87775440000001</v>
      </c>
      <c r="J52" s="631">
        <f>'Админ. расх. (2)'!R44</f>
        <v>0</v>
      </c>
      <c r="K52" s="631">
        <f>'Админ. расх. (2)'!U44</f>
        <v>0</v>
      </c>
      <c r="L52" s="632">
        <f>'Админ. расх. (2)'!X44</f>
        <v>0</v>
      </c>
      <c r="M52" s="586">
        <f>'Админ. расх. (2)'!AA44</f>
        <v>304.992864</v>
      </c>
      <c r="N52" s="588"/>
      <c r="O52" s="589"/>
    </row>
    <row r="53" spans="1:16" ht="16.5" thickTop="1" thickBot="1">
      <c r="A53" s="195" t="s">
        <v>90</v>
      </c>
      <c r="B53" s="142" t="s">
        <v>91</v>
      </c>
      <c r="C53" s="144" t="s">
        <v>11</v>
      </c>
      <c r="D53" s="631">
        <v>558.78</v>
      </c>
      <c r="E53" s="631">
        <v>296.77999999999997</v>
      </c>
      <c r="F53" s="631">
        <v>311</v>
      </c>
      <c r="G53" s="631">
        <v>313.70999999999998</v>
      </c>
      <c r="H53" s="631">
        <f>'Админ. расх. (2)'!O45*0.59</f>
        <v>358.67869999999994</v>
      </c>
      <c r="I53" s="631">
        <f>'Админ. расх. (2)'!P45*0.59</f>
        <v>717.35739999999987</v>
      </c>
      <c r="J53" s="631">
        <f>'Админ. расх. (2)'!R45</f>
        <v>0</v>
      </c>
      <c r="K53" s="631">
        <f>'Админ. расх. (2)'!U45</f>
        <v>0</v>
      </c>
      <c r="L53" s="632">
        <f>'Админ. расх. (2)'!X45</f>
        <v>0</v>
      </c>
      <c r="M53" s="586">
        <f>'Админ. расх. (2)'!AA45</f>
        <v>319.08723119999996</v>
      </c>
      <c r="N53" s="587"/>
      <c r="O53" s="586"/>
    </row>
    <row r="54" spans="1:16" ht="21" customHeight="1" thickTop="1" thickBot="1">
      <c r="A54" s="195" t="s">
        <v>92</v>
      </c>
      <c r="B54" s="142" t="s">
        <v>93</v>
      </c>
      <c r="C54" s="144" t="s">
        <v>11</v>
      </c>
      <c r="D54" s="631">
        <v>136.88999999999999</v>
      </c>
      <c r="E54" s="631">
        <v>154.16999999999999</v>
      </c>
      <c r="F54" s="631">
        <v>76.010000000000005</v>
      </c>
      <c r="G54" s="631">
        <v>76.03</v>
      </c>
      <c r="H54" s="631">
        <f>'Админ. расх. (2)'!O46*0.59</f>
        <v>29.383958800000002</v>
      </c>
      <c r="I54" s="631">
        <f>'Админ. расх. (2)'!P46*0.59</f>
        <v>58.767917600000004</v>
      </c>
      <c r="J54" s="631">
        <f>'Админ. расх. (2)'!R46</f>
        <v>0</v>
      </c>
      <c r="K54" s="631">
        <f>'Админ. расх. (2)'!U46</f>
        <v>0</v>
      </c>
      <c r="L54" s="632">
        <f>'Админ. расх. (2)'!X46</f>
        <v>0</v>
      </c>
      <c r="M54" s="586">
        <f>'Админ. расх. (2)'!AA46</f>
        <v>58.602072544400002</v>
      </c>
      <c r="N54" s="587"/>
      <c r="O54" s="586"/>
    </row>
    <row r="55" spans="1:16" ht="16.5" thickTop="1" thickBot="1">
      <c r="A55" s="195" t="s">
        <v>94</v>
      </c>
      <c r="B55" s="142" t="s">
        <v>95</v>
      </c>
      <c r="C55" s="144" t="s">
        <v>11</v>
      </c>
      <c r="D55" s="631">
        <f>D57+D61</f>
        <v>11860.32</v>
      </c>
      <c r="E55" s="631">
        <f t="shared" ref="E55" si="26">E57+E61</f>
        <v>10481.73</v>
      </c>
      <c r="F55" s="631">
        <f>F57+F61</f>
        <v>8177.68</v>
      </c>
      <c r="G55" s="631">
        <f t="shared" ref="G55" si="27">G56+G61</f>
        <v>17691.760000000002</v>
      </c>
      <c r="H55" s="631">
        <f>H56+H57+H61+H62</f>
        <v>10555.1183473</v>
      </c>
      <c r="I55" s="631">
        <f t="shared" ref="I55:L55" si="28">I56+I57+I61+I62</f>
        <v>21139.9385946</v>
      </c>
      <c r="J55" s="631">
        <f t="shared" si="28"/>
        <v>16419.196614999997</v>
      </c>
      <c r="K55" s="631">
        <f t="shared" si="28"/>
        <v>19809.834619799996</v>
      </c>
      <c r="L55" s="631">
        <f t="shared" si="28"/>
        <v>18781.722705731394</v>
      </c>
      <c r="M55" s="631">
        <f>M56+M57+M58+M59+M60</f>
        <v>1706.0744599507161</v>
      </c>
      <c r="N55" s="631">
        <f t="shared" ref="N55:O55" si="29">N56+N61+N62-N62</f>
        <v>0</v>
      </c>
      <c r="O55" s="631">
        <f t="shared" si="29"/>
        <v>0</v>
      </c>
    </row>
    <row r="56" spans="1:16" ht="26.25" thickTop="1">
      <c r="A56" s="193" t="s">
        <v>96</v>
      </c>
      <c r="B56" s="194" t="s">
        <v>390</v>
      </c>
      <c r="C56" s="190" t="s">
        <v>11</v>
      </c>
      <c r="D56" s="633">
        <v>5858</v>
      </c>
      <c r="E56" s="633">
        <v>0</v>
      </c>
      <c r="F56" s="633">
        <v>5860.32</v>
      </c>
      <c r="G56" s="633">
        <v>2295.0100000000002</v>
      </c>
      <c r="H56" s="633">
        <f>'расшифровки ВС_2016'!H384</f>
        <v>2970.19</v>
      </c>
      <c r="I56" s="633">
        <f>'расшифровки ВС_2016'!I384</f>
        <v>5970.0819000000001</v>
      </c>
      <c r="J56" s="633">
        <f>'расшифровки ВС_2016'!J384</f>
        <v>4849.9180149999993</v>
      </c>
      <c r="K56" s="633">
        <f>'расшифровки ВС_2016'!K384</f>
        <v>7743.0770399999992</v>
      </c>
      <c r="L56" s="633">
        <f>'расшифровки ВС_2016'!L384</f>
        <v>6196.0945499999998</v>
      </c>
      <c r="M56" s="590">
        <v>0</v>
      </c>
      <c r="N56" s="591"/>
      <c r="O56" s="590"/>
    </row>
    <row r="57" spans="1:16" ht="25.5">
      <c r="A57" s="191" t="s">
        <v>97</v>
      </c>
      <c r="B57" s="192" t="s">
        <v>1100</v>
      </c>
      <c r="C57" s="384" t="s">
        <v>11</v>
      </c>
      <c r="D57" s="633"/>
      <c r="E57" s="633"/>
      <c r="F57" s="633">
        <v>56.97</v>
      </c>
      <c r="G57" s="633">
        <v>59.53</v>
      </c>
      <c r="H57" s="633">
        <f>('Админ. расх. (2)'!O48+'Админ. расх. (2)'!O49+'Админ. расх. (2)'!O50)*0.59</f>
        <v>784.04714729999989</v>
      </c>
      <c r="I57" s="633">
        <f>('Админ. расх. (2)'!P48+'Админ. расх. (2)'!P49+'Админ. расх. (2)'!P50)*0.59</f>
        <v>1568.0942945999998</v>
      </c>
      <c r="J57" s="633">
        <f>'Админ. расх. (2)'!R48+'Админ. расх. (2)'!R49+'Админ. расх. (2)'!R50</f>
        <v>0</v>
      </c>
      <c r="K57" s="633">
        <f>'Админ. расх. (2)'!U48+'Админ. расх. (2)'!U49+'Админ. расх. (2)'!U50</f>
        <v>0</v>
      </c>
      <c r="L57" s="634">
        <f>'Админ. расх. (2)'!X48+'Админ. расх. (2)'!X49+'Админ. расх. (2)'!X50</f>
        <v>0</v>
      </c>
      <c r="M57" s="1210">
        <f>'Админ. расх. (2)'!AA48</f>
        <v>300.53061044999998</v>
      </c>
      <c r="N57" s="1210"/>
      <c r="O57" s="1210"/>
    </row>
    <row r="58" spans="1:16">
      <c r="A58" s="191" t="s">
        <v>543</v>
      </c>
      <c r="B58" s="192" t="s">
        <v>1722</v>
      </c>
      <c r="C58" s="384" t="s">
        <v>11</v>
      </c>
      <c r="D58" s="633"/>
      <c r="E58" s="633"/>
      <c r="F58" s="633"/>
      <c r="G58" s="633"/>
      <c r="H58" s="633"/>
      <c r="I58" s="633"/>
      <c r="J58" s="633"/>
      <c r="K58" s="633"/>
      <c r="L58" s="634"/>
      <c r="M58" s="1210">
        <f>'Админ. расх. (2)'!AA49</f>
        <v>312.35774849999996</v>
      </c>
      <c r="N58" s="1210"/>
      <c r="O58" s="1210"/>
    </row>
    <row r="59" spans="1:16">
      <c r="A59" s="191" t="s">
        <v>1720</v>
      </c>
      <c r="B59" s="192" t="s">
        <v>1714</v>
      </c>
      <c r="C59" s="384" t="s">
        <v>11</v>
      </c>
      <c r="D59" s="633"/>
      <c r="E59" s="633"/>
      <c r="F59" s="633"/>
      <c r="G59" s="633"/>
      <c r="H59" s="633"/>
      <c r="I59" s="633"/>
      <c r="J59" s="633"/>
      <c r="K59" s="633"/>
      <c r="L59" s="634"/>
      <c r="M59" s="1210">
        <f>'Админ. расх. (2)'!AA50</f>
        <v>424.02907300071627</v>
      </c>
      <c r="N59" s="1210"/>
      <c r="O59" s="1210"/>
    </row>
    <row r="60" spans="1:16" ht="15.75" thickBot="1">
      <c r="A60" s="191" t="s">
        <v>1721</v>
      </c>
      <c r="B60" s="192" t="s">
        <v>1689</v>
      </c>
      <c r="C60" s="384" t="s">
        <v>11</v>
      </c>
      <c r="D60" s="633"/>
      <c r="E60" s="633"/>
      <c r="F60" s="633"/>
      <c r="G60" s="633"/>
      <c r="H60" s="633"/>
      <c r="I60" s="633"/>
      <c r="J60" s="633"/>
      <c r="K60" s="633"/>
      <c r="L60" s="634"/>
      <c r="M60" s="1210">
        <f>'Админ. расх. (2)'!AA51</f>
        <v>669.15702799999997</v>
      </c>
      <c r="N60" s="1210"/>
      <c r="O60" s="1210"/>
    </row>
    <row r="61" spans="1:16" ht="27" customHeight="1" thickTop="1" thickBot="1">
      <c r="A61" s="195" t="s">
        <v>1418</v>
      </c>
      <c r="B61" s="142" t="s">
        <v>98</v>
      </c>
      <c r="C61" s="144" t="s">
        <v>11</v>
      </c>
      <c r="D61" s="631">
        <v>11860.32</v>
      </c>
      <c r="E61" s="631">
        <v>10481.73</v>
      </c>
      <c r="F61" s="631">
        <v>8120.71</v>
      </c>
      <c r="G61" s="631">
        <v>15396.75</v>
      </c>
      <c r="H61" s="631">
        <f>'Админ. расх. (2)'!O53*0.59</f>
        <v>3908.5612000000001</v>
      </c>
      <c r="I61" s="631">
        <f>'Админ. расх. (2)'!P53*0.59</f>
        <v>7817.1224000000002</v>
      </c>
      <c r="J61" s="144">
        <f>'Админ. расх. (2)'!R53</f>
        <v>0</v>
      </c>
      <c r="K61" s="144">
        <f>'Админ. расх. (2)'!U53</f>
        <v>0</v>
      </c>
      <c r="L61" s="144">
        <f>'Админ. расх. (2)'!X53</f>
        <v>0</v>
      </c>
      <c r="M61" s="631">
        <f>'Админ. расх. (2)'!AA53</f>
        <v>7795.0615399999988</v>
      </c>
      <c r="N61" s="631"/>
      <c r="O61" s="1210"/>
    </row>
    <row r="62" spans="1:16" ht="19.5" customHeight="1" thickTop="1">
      <c r="B62" s="219" t="s">
        <v>1523</v>
      </c>
      <c r="C62" s="384" t="s">
        <v>11</v>
      </c>
      <c r="D62" s="635"/>
      <c r="E62" s="635"/>
      <c r="F62" s="633"/>
      <c r="G62" s="633"/>
      <c r="H62" s="633">
        <f>'Админ. расх. (2)'!O56</f>
        <v>2892.32</v>
      </c>
      <c r="I62" s="633">
        <f>'Админ. расх. (2)'!P56</f>
        <v>5784.64</v>
      </c>
      <c r="J62" s="633">
        <f>'Админ. расх. (2)'!R56</f>
        <v>11569.278599999998</v>
      </c>
      <c r="K62" s="633">
        <f>'Админ. расх. (2)'!U56</f>
        <v>12066.757579799998</v>
      </c>
      <c r="L62" s="633">
        <f>'Админ. расх. (2)'!X56</f>
        <v>12585.628155731396</v>
      </c>
      <c r="M62" s="590">
        <v>0</v>
      </c>
      <c r="N62" s="592"/>
      <c r="O62" s="593"/>
      <c r="P62" t="s">
        <v>1719</v>
      </c>
    </row>
    <row r="63" spans="1:16" ht="30.75" thickBot="1">
      <c r="A63" s="385" t="s">
        <v>99</v>
      </c>
      <c r="B63" s="386" t="s">
        <v>100</v>
      </c>
      <c r="C63" s="386" t="s">
        <v>11</v>
      </c>
      <c r="D63" s="636">
        <f t="shared" ref="D63:O63" si="30">D64</f>
        <v>0</v>
      </c>
      <c r="E63" s="636">
        <f t="shared" si="30"/>
        <v>7824.9219999999996</v>
      </c>
      <c r="F63" s="636">
        <f t="shared" si="30"/>
        <v>7440.5519999999997</v>
      </c>
      <c r="G63" s="636">
        <f t="shared" si="30"/>
        <v>8177.0434899999991</v>
      </c>
      <c r="H63" s="636">
        <f t="shared" si="30"/>
        <v>4088.5217449999996</v>
      </c>
      <c r="I63" s="636">
        <f t="shared" si="30"/>
        <v>8177.0434899999991</v>
      </c>
      <c r="J63" s="636">
        <f t="shared" si="30"/>
        <v>8528.6563600699992</v>
      </c>
      <c r="K63" s="636">
        <f t="shared" si="30"/>
        <v>8895.3885835530091</v>
      </c>
      <c r="L63" s="636">
        <f>K63</f>
        <v>8895.3885835530091</v>
      </c>
      <c r="M63" s="636">
        <f>'расшифровки ВС_2016'!M468</f>
        <v>7824.9219999999996</v>
      </c>
      <c r="N63" s="636">
        <f t="shared" si="30"/>
        <v>0</v>
      </c>
      <c r="O63" s="636">
        <f t="shared" si="30"/>
        <v>0</v>
      </c>
    </row>
    <row r="64" spans="1:16" ht="26.25" thickBot="1">
      <c r="A64" s="176" t="s">
        <v>101</v>
      </c>
      <c r="B64" s="196" t="s">
        <v>102</v>
      </c>
      <c r="C64" s="197" t="s">
        <v>11</v>
      </c>
      <c r="D64" s="637">
        <v>0</v>
      </c>
      <c r="E64" s="637">
        <f>'расшифровки ВС_2016'!E468</f>
        <v>7824.9219999999996</v>
      </c>
      <c r="F64" s="637">
        <f>'расшифровки ВС_2016'!F468</f>
        <v>7440.5519999999997</v>
      </c>
      <c r="G64" s="647">
        <f>'сбытовые расходы'!H9/1000</f>
        <v>8177.0434899999991</v>
      </c>
      <c r="H64" s="647">
        <f>G64/2</f>
        <v>4088.5217449999996</v>
      </c>
      <c r="I64" s="647">
        <f>'сбытовые расходы'!H9/1000</f>
        <v>8177.0434899999991</v>
      </c>
      <c r="J64" s="647">
        <f>'сбытовые расходы'!I9/1000</f>
        <v>8528.6563600699992</v>
      </c>
      <c r="K64" s="647">
        <f>'сбытовые расходы'!J9/1000</f>
        <v>8895.3885835530091</v>
      </c>
      <c r="L64" s="647">
        <f>K64</f>
        <v>8895.3885835530091</v>
      </c>
      <c r="M64" s="594">
        <f>'расшифровки ВС_2016'!M468</f>
        <v>7824.9219999999996</v>
      </c>
      <c r="N64" s="595"/>
      <c r="O64" s="594"/>
    </row>
    <row r="65" spans="1:15" ht="15.75" thickBot="1">
      <c r="A65" s="24" t="s">
        <v>103</v>
      </c>
      <c r="B65" s="7" t="s">
        <v>104</v>
      </c>
      <c r="C65" s="7" t="s">
        <v>11</v>
      </c>
      <c r="D65" s="638">
        <f t="shared" ref="D65:O65" si="31">D66</f>
        <v>25979.78</v>
      </c>
      <c r="E65" s="638">
        <f t="shared" si="31"/>
        <v>28576.016</v>
      </c>
      <c r="F65" s="638">
        <f t="shared" si="31"/>
        <v>34140.699999999997</v>
      </c>
      <c r="G65" s="638">
        <f t="shared" si="31"/>
        <v>42352.256296799991</v>
      </c>
      <c r="H65" s="638">
        <f t="shared" si="31"/>
        <v>18039.246000000003</v>
      </c>
      <c r="I65" s="638">
        <f t="shared" si="31"/>
        <v>36258.884460000001</v>
      </c>
      <c r="J65" s="638">
        <f t="shared" si="31"/>
        <v>43393.107324999997</v>
      </c>
      <c r="K65" s="638">
        <f t="shared" si="31"/>
        <v>73502.179965000003</v>
      </c>
      <c r="L65" s="638">
        <f t="shared" si="31"/>
        <v>100250.80497499999</v>
      </c>
      <c r="M65" s="638">
        <f>'расшифровки ВС_2016'!M395</f>
        <v>49381.307484999998</v>
      </c>
      <c r="N65" s="638">
        <f t="shared" si="31"/>
        <v>0</v>
      </c>
      <c r="O65" s="638">
        <f t="shared" si="31"/>
        <v>0</v>
      </c>
    </row>
    <row r="66" spans="1:15" ht="51.75" thickBot="1">
      <c r="A66" s="172" t="s">
        <v>105</v>
      </c>
      <c r="B66" s="196" t="s">
        <v>1723</v>
      </c>
      <c r="C66" s="197" t="s">
        <v>11</v>
      </c>
      <c r="D66" s="637">
        <v>25979.78</v>
      </c>
      <c r="E66" s="637">
        <f>'расшифровки ВС_2016'!E384+'расшифровки ВС_2016'!E385+'расшифровки ВС_2016'!E386</f>
        <v>28576.016</v>
      </c>
      <c r="F66" s="637">
        <f>'расшифровки ВС_2016'!F383</f>
        <v>34140.699999999997</v>
      </c>
      <c r="G66" s="637">
        <f>'расшифровки ВС_2016'!G384+'расшифровки ВС_2016'!G385+'расшифровки ВС_2016'!G386+'расшифровки ВС_2016'!G388</f>
        <v>42352.256296799991</v>
      </c>
      <c r="H66" s="637">
        <f>'расшифровки ВС_2016'!H384+'расшифровки ВС_2016'!H385+'расшифровки ВС_2016'!H386</f>
        <v>18039.246000000003</v>
      </c>
      <c r="I66" s="637">
        <f>'расшифровки ВС_2016'!I384+'расшифровки ВС_2016'!I385+'расшифровки ВС_2016'!I386</f>
        <v>36258.884460000001</v>
      </c>
      <c r="J66" s="637">
        <f>'расшифровки ВС_2016'!J384+'расшифровки ВС_2016'!J385+'расшифровки ВС_2016'!J386</f>
        <v>43393.107324999997</v>
      </c>
      <c r="K66" s="637">
        <f>'расшифровки ВС_2016'!K384+'расшифровки ВС_2016'!K385+'расшифровки ВС_2016'!K386</f>
        <v>73502.179965000003</v>
      </c>
      <c r="L66" s="637">
        <f>'расшифровки ВС_2016'!L384+'расшифровки ВС_2016'!L385+'расшифровки ВС_2016'!L386</f>
        <v>100250.80497499999</v>
      </c>
      <c r="M66" s="598">
        <f>'расшифровки ВС_2016'!M383</f>
        <v>49381.307484999998</v>
      </c>
      <c r="N66" s="599"/>
      <c r="O66" s="598"/>
    </row>
    <row r="67" spans="1:15" ht="45.75" hidden="1" thickBot="1">
      <c r="A67" s="29" t="s">
        <v>106</v>
      </c>
      <c r="B67" s="31" t="s">
        <v>107</v>
      </c>
      <c r="C67" s="30" t="s">
        <v>11</v>
      </c>
      <c r="D67" s="638">
        <v>0</v>
      </c>
      <c r="E67" s="638">
        <f t="shared" ref="E67:L67" si="32">E68+E69+E70+E71</f>
        <v>0</v>
      </c>
      <c r="F67" s="638">
        <f t="shared" si="32"/>
        <v>0</v>
      </c>
      <c r="G67" s="638">
        <f t="shared" si="32"/>
        <v>0</v>
      </c>
      <c r="H67" s="638">
        <f t="shared" ref="H67:I67" si="33">H68+H69+H70+H71</f>
        <v>0</v>
      </c>
      <c r="I67" s="638">
        <f t="shared" si="33"/>
        <v>0</v>
      </c>
      <c r="J67" s="638">
        <f t="shared" si="32"/>
        <v>0</v>
      </c>
      <c r="K67" s="638">
        <f t="shared" si="32"/>
        <v>0</v>
      </c>
      <c r="L67" s="638">
        <f t="shared" si="32"/>
        <v>0</v>
      </c>
      <c r="M67" s="596"/>
      <c r="N67" s="597"/>
      <c r="O67" s="596"/>
    </row>
    <row r="68" spans="1:15" ht="15.75" hidden="1" thickBot="1">
      <c r="A68" s="198" t="s">
        <v>108</v>
      </c>
      <c r="B68" s="139" t="s">
        <v>109</v>
      </c>
      <c r="C68" s="199" t="s">
        <v>11</v>
      </c>
      <c r="D68" s="639"/>
      <c r="E68" s="639">
        <f>'расшифровки ВС_2016'!E403</f>
        <v>0</v>
      </c>
      <c r="F68" s="639"/>
      <c r="G68" s="639"/>
      <c r="H68" s="639"/>
      <c r="I68" s="639"/>
      <c r="J68" s="639"/>
      <c r="K68" s="639"/>
      <c r="L68" s="640"/>
      <c r="M68" s="600"/>
      <c r="N68" s="601"/>
      <c r="O68" s="600"/>
    </row>
    <row r="69" spans="1:15" ht="16.5" hidden="1" thickTop="1" thickBot="1">
      <c r="A69" s="195" t="s">
        <v>110</v>
      </c>
      <c r="B69" s="142" t="s">
        <v>111</v>
      </c>
      <c r="C69" s="200" t="s">
        <v>11</v>
      </c>
      <c r="D69" s="641">
        <f>'расшифровки ВС_2016'!D410</f>
        <v>0</v>
      </c>
      <c r="E69" s="641">
        <f>'расшифровки ВС_2016'!E410</f>
        <v>0</v>
      </c>
      <c r="F69" s="641"/>
      <c r="G69" s="641"/>
      <c r="H69" s="641"/>
      <c r="I69" s="641"/>
      <c r="J69" s="641"/>
      <c r="K69" s="641"/>
      <c r="L69" s="642"/>
      <c r="M69" s="586"/>
      <c r="N69" s="587"/>
      <c r="O69" s="586"/>
    </row>
    <row r="70" spans="1:15" ht="16.5" hidden="1" thickTop="1" thickBot="1">
      <c r="A70" s="195" t="s">
        <v>112</v>
      </c>
      <c r="B70" s="142" t="s">
        <v>113</v>
      </c>
      <c r="C70" s="200" t="s">
        <v>11</v>
      </c>
      <c r="D70" s="641">
        <f>'расшифровки ВС_2016'!D414</f>
        <v>0</v>
      </c>
      <c r="E70" s="641">
        <f>'расшифровки ВС_2016'!E414</f>
        <v>0</v>
      </c>
      <c r="F70" s="641"/>
      <c r="G70" s="641"/>
      <c r="H70" s="641"/>
      <c r="I70" s="641"/>
      <c r="J70" s="641"/>
      <c r="K70" s="641"/>
      <c r="L70" s="642"/>
      <c r="M70" s="586"/>
      <c r="N70" s="587"/>
      <c r="O70" s="586"/>
    </row>
    <row r="71" spans="1:15" ht="16.5" hidden="1" thickTop="1" thickBot="1">
      <c r="A71" s="201" t="s">
        <v>114</v>
      </c>
      <c r="B71" s="196" t="s">
        <v>115</v>
      </c>
      <c r="C71" s="202" t="s">
        <v>11</v>
      </c>
      <c r="D71" s="643">
        <f>'расшифровки ВС_2016'!D419</f>
        <v>0</v>
      </c>
      <c r="E71" s="643">
        <f>'расшифровки ВС_2016'!E419</f>
        <v>0</v>
      </c>
      <c r="F71" s="643"/>
      <c r="G71" s="643"/>
      <c r="H71" s="643"/>
      <c r="I71" s="643"/>
      <c r="J71" s="644"/>
      <c r="K71" s="644"/>
      <c r="L71" s="645"/>
      <c r="M71" s="602"/>
      <c r="N71" s="603"/>
      <c r="O71" s="602"/>
    </row>
    <row r="72" spans="1:15" ht="30.75" thickBot="1">
      <c r="A72" s="170" t="s">
        <v>116</v>
      </c>
      <c r="B72" s="31" t="s">
        <v>117</v>
      </c>
      <c r="C72" s="171" t="s">
        <v>11</v>
      </c>
      <c r="D72" s="646">
        <f>SUM(D73:D78)</f>
        <v>17382.400000000001</v>
      </c>
      <c r="E72" s="646">
        <f t="shared" ref="E72:G72" si="34">SUM(E73:E78)</f>
        <v>22920.437679999999</v>
      </c>
      <c r="F72" s="646">
        <f t="shared" si="34"/>
        <v>17728.989999999998</v>
      </c>
      <c r="G72" s="646">
        <f t="shared" si="34"/>
        <v>24540.357973999999</v>
      </c>
      <c r="H72" s="646">
        <f>налоги!H105</f>
        <v>15252.868548799999</v>
      </c>
      <c r="I72" s="646">
        <f>налоги!I105</f>
        <v>35336.068207600001</v>
      </c>
      <c r="J72" s="646">
        <f>налоги!J105</f>
        <v>45137.258926720002</v>
      </c>
      <c r="K72" s="646">
        <f>налоги!K105</f>
        <v>41306.536912412157</v>
      </c>
      <c r="L72" s="646">
        <f>налоги!L105</f>
        <v>65263.293838742487</v>
      </c>
      <c r="M72" s="646">
        <f>M73+M74+M75+M76+M77+M78</f>
        <v>25781.898009295997</v>
      </c>
      <c r="N72" s="646"/>
      <c r="O72" s="604"/>
    </row>
    <row r="73" spans="1:15" ht="16.5" thickTop="1" thickBot="1">
      <c r="A73" s="195" t="s">
        <v>118</v>
      </c>
      <c r="B73" s="203" t="s">
        <v>119</v>
      </c>
      <c r="C73" s="200" t="s">
        <v>11</v>
      </c>
      <c r="D73" s="641">
        <v>10000</v>
      </c>
      <c r="E73" s="641">
        <f>'расшифровки ВС_2016'!E430</f>
        <v>10393.487879999999</v>
      </c>
      <c r="F73" s="641">
        <f>'расшифровки ВС_2016'!F430</f>
        <v>12436</v>
      </c>
      <c r="G73" s="641">
        <f>'расшифровки ВС_2016'!G430</f>
        <v>10913.162274</v>
      </c>
      <c r="H73" s="641">
        <f>налоги!H97</f>
        <v>6305.6802239999997</v>
      </c>
      <c r="I73" s="641">
        <f>налоги!I97</f>
        <v>17441.691557999999</v>
      </c>
      <c r="J73" s="641">
        <f>налоги!J97</f>
        <v>26832.239810624</v>
      </c>
      <c r="K73" s="641">
        <f>налоги!K97</f>
        <v>21796.254630155203</v>
      </c>
      <c r="L73" s="641">
        <f>налоги!L97</f>
        <v>44411.338733662968</v>
      </c>
      <c r="M73" s="586">
        <f>'расшифровки ВС_2016'!M430</f>
        <v>10913.162274</v>
      </c>
      <c r="N73" s="587"/>
      <c r="O73" s="586"/>
    </row>
    <row r="74" spans="1:15" ht="27" thickTop="1" thickBot="1">
      <c r="A74" s="195" t="s">
        <v>120</v>
      </c>
      <c r="B74" s="204" t="s">
        <v>121</v>
      </c>
      <c r="C74" s="200" t="s">
        <v>11</v>
      </c>
      <c r="D74" s="641">
        <v>2100</v>
      </c>
      <c r="E74" s="641">
        <f>'расшифровки ВС_2016'!E431</f>
        <v>0</v>
      </c>
      <c r="F74" s="641"/>
      <c r="G74" s="641">
        <f>'расшифровки ВС_2016'!G431</f>
        <v>0</v>
      </c>
      <c r="H74" s="641">
        <f>'расшифровки ВС_2016'!H431</f>
        <v>0</v>
      </c>
      <c r="I74" s="641">
        <f>'расшифровки ВС_2016'!I431</f>
        <v>0</v>
      </c>
      <c r="J74" s="641">
        <f>'расшифровки ВС_2016'!J431</f>
        <v>0</v>
      </c>
      <c r="K74" s="641">
        <f>'расшифровки ВС_2016'!K431</f>
        <v>0</v>
      </c>
      <c r="L74" s="641">
        <f>'расшифровки ВС_2016'!L431</f>
        <v>0</v>
      </c>
      <c r="M74" s="586"/>
      <c r="N74" s="587"/>
      <c r="O74" s="586"/>
    </row>
    <row r="75" spans="1:15" ht="27" thickTop="1" thickBot="1">
      <c r="A75" s="195" t="s">
        <v>122</v>
      </c>
      <c r="B75" s="204" t="s">
        <v>123</v>
      </c>
      <c r="C75" s="200" t="s">
        <v>11</v>
      </c>
      <c r="D75" s="641">
        <v>2300</v>
      </c>
      <c r="E75" s="641">
        <f>'расшифровки ВС_2016'!E432+'расшифровки ВС_2016'!E433</f>
        <v>6413.2400000000007</v>
      </c>
      <c r="F75" s="641">
        <f>'расшифровки ВС_2016'!F433</f>
        <v>4281.99</v>
      </c>
      <c r="G75" s="641">
        <f>'расшифровки ВС_2016'!G432+'расшифровки ВС_2016'!G433</f>
        <v>7493.9863999999998</v>
      </c>
      <c r="H75" s="641">
        <f>'расшифровки ВС_2016'!H432+'расшифровки ВС_2016'!H433</f>
        <v>4188.0650000000005</v>
      </c>
      <c r="I75" s="641">
        <f>'расшифровки ВС_2016'!I432+'расшифровки ВС_2016'!I433</f>
        <v>8376.130000000001</v>
      </c>
      <c r="J75" s="641">
        <f>'расшифровки ВС_2016'!J432+'расшифровки ВС_2016'!J433</f>
        <v>8691.59</v>
      </c>
      <c r="K75" s="641">
        <f>'расшифровки ВС_2016'!K432+'расшифровки ВС_2016'!K433</f>
        <v>9800.7188750000005</v>
      </c>
      <c r="L75" s="641">
        <f>'расшифровки ВС_2016'!L432+'расшифровки ВС_2016'!L433</f>
        <v>11045.29606375</v>
      </c>
      <c r="M75" s="586">
        <f>'расшифровки ВС_2016'!M432+'расшифровки ВС_2016'!M433</f>
        <v>8691.59</v>
      </c>
      <c r="N75" s="587"/>
      <c r="O75" s="586"/>
    </row>
    <row r="76" spans="1:15" ht="16.5" thickTop="1" thickBot="1">
      <c r="A76" s="195" t="s">
        <v>124</v>
      </c>
      <c r="B76" s="203" t="s">
        <v>756</v>
      </c>
      <c r="C76" s="200" t="s">
        <v>11</v>
      </c>
      <c r="D76" s="641">
        <v>2700</v>
      </c>
      <c r="E76" s="641">
        <f>'расшифровки ВС_2016'!E436</f>
        <v>5723.7197999999989</v>
      </c>
      <c r="F76" s="641">
        <f>'расшифровки ВС_2016'!F436</f>
        <v>702</v>
      </c>
      <c r="G76" s="641">
        <f>'расшифровки ВС_2016'!G436</f>
        <v>5723.7197999999989</v>
      </c>
      <c r="H76" s="641">
        <f>'расшифровки ВС_2016'!H436</f>
        <v>4534.6550399999996</v>
      </c>
      <c r="I76" s="641">
        <f>'расшифровки ВС_2016'!I436</f>
        <v>9069.3100799999993</v>
      </c>
      <c r="J76" s="641">
        <f>'расшифровки ВС_2016'!J436</f>
        <v>9160.0031807999985</v>
      </c>
      <c r="K76" s="641">
        <f>'расшифровки ВС_2016'!K436</f>
        <v>9251.603212607999</v>
      </c>
      <c r="L76" s="641">
        <f>'расшифровки ВС_2016'!L436</f>
        <v>9344.11924473408</v>
      </c>
      <c r="M76" s="586">
        <f>'расшифровки ВС_2016'!M436</f>
        <v>5723.7197999999989</v>
      </c>
      <c r="N76" s="587"/>
      <c r="O76" s="586"/>
    </row>
    <row r="77" spans="1:15" ht="16.5" thickTop="1" thickBot="1">
      <c r="A77" s="195" t="s">
        <v>126</v>
      </c>
      <c r="B77" s="203" t="s">
        <v>127</v>
      </c>
      <c r="C77" s="200" t="s">
        <v>11</v>
      </c>
      <c r="D77" s="641">
        <v>282.39999999999998</v>
      </c>
      <c r="E77" s="641">
        <f>'расшифровки ВС_2016'!E437</f>
        <v>389.98999999999995</v>
      </c>
      <c r="F77" s="641">
        <f>'расшифровки ВС_2016'!F437</f>
        <v>309</v>
      </c>
      <c r="G77" s="641">
        <f>'расшифровки ВС_2016'!G437</f>
        <v>409.48950000000002</v>
      </c>
      <c r="H77" s="641">
        <f>'расшифровки ВС_2016'!H437</f>
        <v>224.46828479999999</v>
      </c>
      <c r="I77" s="641">
        <f>'расшифровки ВС_2016'!I437</f>
        <v>448.93656959999998</v>
      </c>
      <c r="J77" s="641">
        <f>'расшифровки ВС_2016'!J437</f>
        <v>453.42593529599998</v>
      </c>
      <c r="K77" s="641">
        <f>'расшифровки ВС_2016'!K437</f>
        <v>457.96019464896</v>
      </c>
      <c r="L77" s="641">
        <f>'расшифровки ВС_2016'!L437</f>
        <v>462.53979659544956</v>
      </c>
      <c r="M77" s="586">
        <f>'расшифровки ВС_2016'!M437</f>
        <v>453.42593529599998</v>
      </c>
      <c r="N77" s="587"/>
      <c r="O77" s="586"/>
    </row>
    <row r="78" spans="1:15" ht="59.25" hidden="1" customHeight="1" thickTop="1" thickBot="1">
      <c r="A78" s="176" t="s">
        <v>128</v>
      </c>
      <c r="B78" s="205" t="s">
        <v>129</v>
      </c>
      <c r="C78" s="206" t="s">
        <v>11</v>
      </c>
      <c r="D78" s="647"/>
      <c r="E78" s="647">
        <f>'расшифровки ВС_2016'!E441</f>
        <v>0</v>
      </c>
      <c r="F78" s="647"/>
      <c r="G78" s="647">
        <f>'расшифровки ВС_2016'!G441</f>
        <v>0</v>
      </c>
      <c r="H78" s="647">
        <f>'расшифровки ВС_2016'!H441</f>
        <v>0</v>
      </c>
      <c r="I78" s="647">
        <f>'расшифровки ВС_2016'!I441</f>
        <v>0</v>
      </c>
      <c r="J78" s="647">
        <f>'расшифровки ВС_2016'!J441</f>
        <v>0</v>
      </c>
      <c r="K78" s="647"/>
      <c r="L78" s="647" t="s">
        <v>1012</v>
      </c>
      <c r="M78" s="605"/>
      <c r="N78" s="606"/>
      <c r="O78" s="605"/>
    </row>
    <row r="79" spans="1:15" ht="27.75" customHeight="1" thickTop="1" thickBot="1">
      <c r="A79" s="3414" t="s">
        <v>966</v>
      </c>
      <c r="B79" s="1240" t="s">
        <v>964</v>
      </c>
      <c r="C79" s="1242" t="s">
        <v>11</v>
      </c>
      <c r="D79" s="1237">
        <f>702.1+482+1928</f>
        <v>3112.1</v>
      </c>
      <c r="E79" s="1237"/>
      <c r="F79" s="1237"/>
      <c r="G79" s="1237"/>
      <c r="H79" s="1237"/>
      <c r="I79" s="1237"/>
      <c r="J79" s="1237"/>
      <c r="K79" s="1237"/>
      <c r="L79" s="1237"/>
      <c r="M79" s="2865"/>
      <c r="N79" s="1238"/>
      <c r="O79" s="1239"/>
    </row>
    <row r="80" spans="1:15" ht="21" customHeight="1" thickBot="1">
      <c r="A80" s="3415"/>
      <c r="B80" s="1240" t="s">
        <v>965</v>
      </c>
      <c r="C80" s="1242" t="s">
        <v>11</v>
      </c>
      <c r="D80" s="1237">
        <f>24946.2+15845.3+46583.1</f>
        <v>87374.6</v>
      </c>
      <c r="E80" s="1237"/>
      <c r="F80" s="1237"/>
      <c r="G80" s="1237"/>
      <c r="H80" s="1237"/>
      <c r="I80" s="1237"/>
      <c r="J80" s="1237"/>
      <c r="K80" s="1237"/>
      <c r="L80" s="1237"/>
      <c r="M80" s="2865"/>
      <c r="N80" s="1238"/>
      <c r="O80" s="1239"/>
    </row>
    <row r="81" spans="1:16" ht="36" customHeight="1" thickBot="1">
      <c r="A81" s="2442"/>
      <c r="B81" s="1240" t="s">
        <v>1538</v>
      </c>
      <c r="C81" s="1242" t="s">
        <v>11</v>
      </c>
      <c r="D81" s="1237"/>
      <c r="E81" s="1237"/>
      <c r="F81" s="1237"/>
      <c r="G81" s="1237"/>
      <c r="H81" s="1237"/>
      <c r="I81" s="1237">
        <f>22263.075/2+14693.62/2</f>
        <v>18478.3475</v>
      </c>
      <c r="J81" s="1237">
        <f>22263.075+14693.629</f>
        <v>36956.703999999998</v>
      </c>
      <c r="K81" s="1237">
        <f>J81</f>
        <v>36956.703999999998</v>
      </c>
      <c r="L81" s="1237">
        <f>K81</f>
        <v>36956.703999999998</v>
      </c>
      <c r="M81" s="2865"/>
      <c r="N81" s="1238"/>
      <c r="O81" s="1238"/>
    </row>
    <row r="82" spans="1:16" ht="19.5" thickBot="1">
      <c r="A82" s="352"/>
      <c r="B82" s="354" t="s">
        <v>510</v>
      </c>
      <c r="C82" s="353" t="s">
        <v>11</v>
      </c>
      <c r="D82" s="648">
        <f t="shared" ref="D82:L82" si="35">D10+D32+D38+D63+D65+D67+D72+D79+D80+D81</f>
        <v>605091.07349926408</v>
      </c>
      <c r="E82" s="648">
        <f t="shared" si="35"/>
        <v>616238.9127977083</v>
      </c>
      <c r="F82" s="648">
        <f t="shared" si="35"/>
        <v>623420.17902120983</v>
      </c>
      <c r="G82" s="648">
        <f t="shared" si="35"/>
        <v>689494.32948387112</v>
      </c>
      <c r="H82" s="648">
        <f t="shared" si="35"/>
        <v>322043.42056225106</v>
      </c>
      <c r="I82" s="648">
        <f t="shared" si="35"/>
        <v>717517.09298439615</v>
      </c>
      <c r="J82" s="648">
        <f t="shared" si="35"/>
        <v>847909.498668154</v>
      </c>
      <c r="K82" s="648">
        <f t="shared" si="35"/>
        <v>885732.14765798079</v>
      </c>
      <c r="L82" s="648">
        <f t="shared" si="35"/>
        <v>943424.7755029127</v>
      </c>
      <c r="M82" s="1184">
        <f>M10+M32+M38+M63+M65+M67+M72</f>
        <v>689954.11927915062</v>
      </c>
      <c r="N82" s="550">
        <f>N10+N32+N38+N63+N65+N67+N72</f>
        <v>0</v>
      </c>
      <c r="O82" s="550">
        <f>O10+O32+O38+O63+O65+O67+O72</f>
        <v>0</v>
      </c>
    </row>
    <row r="83" spans="1:16" ht="19.5" hidden="1" thickBot="1">
      <c r="A83" s="1180"/>
      <c r="B83" s="1181"/>
      <c r="C83" s="1182"/>
      <c r="D83" s="1183"/>
      <c r="E83" s="1183"/>
      <c r="F83" s="1183"/>
      <c r="G83" s="1183"/>
      <c r="H83" s="1183"/>
      <c r="I83" s="1183"/>
      <c r="J83" s="1183"/>
      <c r="K83" s="1183"/>
      <c r="L83" s="1183"/>
      <c r="M83" s="1184"/>
      <c r="N83" s="1184"/>
      <c r="O83" s="1184"/>
    </row>
    <row r="84" spans="1:16" ht="19.5" hidden="1" thickBot="1">
      <c r="A84" s="1180"/>
      <c r="B84" s="1181"/>
      <c r="C84" s="1182"/>
      <c r="D84" s="1183"/>
      <c r="E84" s="1183"/>
      <c r="F84" s="1183"/>
      <c r="G84" s="1183"/>
      <c r="H84" s="1183"/>
      <c r="I84" s="1183"/>
      <c r="J84" s="1183"/>
      <c r="K84" s="1183"/>
      <c r="L84" s="1183"/>
      <c r="M84" s="1184"/>
      <c r="N84" s="1184"/>
      <c r="O84" s="1184"/>
    </row>
    <row r="85" spans="1:16" ht="15.75" thickBot="1">
      <c r="A85" s="350" t="s">
        <v>130</v>
      </c>
      <c r="B85" s="351" t="s">
        <v>131</v>
      </c>
      <c r="C85" s="159" t="s">
        <v>11</v>
      </c>
      <c r="D85" s="1179">
        <f>SUM(D87:D92)</f>
        <v>2670.59</v>
      </c>
      <c r="E85" s="1179">
        <f t="shared" ref="E85:O85" si="36">SUM(E87:E92)</f>
        <v>25470.076383931249</v>
      </c>
      <c r="F85" s="1179">
        <f t="shared" si="36"/>
        <v>25341.599999999999</v>
      </c>
      <c r="G85" s="1179">
        <f>SUM(G87:G92)</f>
        <v>27461.082839288119</v>
      </c>
      <c r="H85" s="1179">
        <f>SUM(H87:H92)</f>
        <v>13120.14315682702</v>
      </c>
      <c r="I85" s="1179">
        <f>SUM(I87:I92)</f>
        <v>28911.944227638705</v>
      </c>
      <c r="J85" s="1179">
        <f t="shared" si="36"/>
        <v>33455.896513952823</v>
      </c>
      <c r="K85" s="1179">
        <f t="shared" si="36"/>
        <v>34976.728559918884</v>
      </c>
      <c r="L85" s="1179">
        <f t="shared" si="36"/>
        <v>37188.041167869203</v>
      </c>
      <c r="M85" s="1179"/>
      <c r="N85" s="1179">
        <f t="shared" si="36"/>
        <v>0</v>
      </c>
      <c r="O85" s="1179">
        <f t="shared" si="36"/>
        <v>0</v>
      </c>
      <c r="P85" s="1397"/>
    </row>
    <row r="86" spans="1:16" ht="15.75" hidden="1" thickBot="1">
      <c r="A86" s="1189"/>
      <c r="B86" s="1191"/>
      <c r="C86" s="1193"/>
      <c r="D86" s="1194">
        <f>D85*0.2</f>
        <v>534.11800000000005</v>
      </c>
      <c r="E86" s="1194">
        <f t="shared" ref="E86:L86" si="37">E85*0.2</f>
        <v>5094.0152767862501</v>
      </c>
      <c r="F86" s="1194">
        <f t="shared" si="37"/>
        <v>5068.32</v>
      </c>
      <c r="G86" s="1194">
        <f t="shared" si="37"/>
        <v>5492.2165678576239</v>
      </c>
      <c r="H86" s="1194">
        <f t="shared" ref="H86:I86" si="38">H85*0.2</f>
        <v>2624.0286313654042</v>
      </c>
      <c r="I86" s="1194">
        <f t="shared" si="38"/>
        <v>5782.3888455277411</v>
      </c>
      <c r="J86" s="1194">
        <f t="shared" si="37"/>
        <v>6691.1793027905651</v>
      </c>
      <c r="K86" s="1194">
        <f t="shared" si="37"/>
        <v>6995.3457119837767</v>
      </c>
      <c r="L86" s="1194">
        <f t="shared" si="37"/>
        <v>7437.6082335738411</v>
      </c>
      <c r="M86" s="1195"/>
      <c r="N86" s="1195"/>
      <c r="O86" s="1196"/>
    </row>
    <row r="87" spans="1:16" ht="15.75" thickBot="1">
      <c r="A87" s="1190" t="s">
        <v>132</v>
      </c>
      <c r="B87" s="1192" t="s">
        <v>505</v>
      </c>
      <c r="C87" s="1197" t="s">
        <v>11</v>
      </c>
      <c r="D87" s="1198"/>
      <c r="E87" s="1198">
        <v>4631.7</v>
      </c>
      <c r="F87" s="1198">
        <v>4223.6000000000004</v>
      </c>
      <c r="G87" s="1198">
        <v>4425.0439547719852</v>
      </c>
      <c r="H87" s="1198">
        <v>2183.8405399594867</v>
      </c>
      <c r="I87" s="1198">
        <v>4836.431438106817</v>
      </c>
      <c r="J87" s="1198">
        <v>5561.5981489082042</v>
      </c>
      <c r="K87" s="1198">
        <v>5842.0991487644578</v>
      </c>
      <c r="L87" s="1198">
        <v>6212.4383271659808</v>
      </c>
      <c r="M87" s="1199">
        <f>M85*0.2</f>
        <v>0</v>
      </c>
      <c r="N87" s="1199"/>
      <c r="O87" s="1200"/>
    </row>
    <row r="88" spans="1:16" ht="37.5" thickBot="1">
      <c r="A88" s="1185" t="s">
        <v>134</v>
      </c>
      <c r="B88" s="1186" t="s">
        <v>133</v>
      </c>
      <c r="C88" s="1187" t="s">
        <v>11</v>
      </c>
      <c r="D88" s="1188">
        <f>'расшифровка кредитов'!B73</f>
        <v>0.59</v>
      </c>
      <c r="E88" s="1188">
        <v>0</v>
      </c>
      <c r="F88" s="1188"/>
      <c r="G88" s="1188"/>
      <c r="H88" s="1188"/>
      <c r="I88" s="1188"/>
      <c r="J88" s="1188"/>
      <c r="K88" s="1188"/>
      <c r="L88" s="1188"/>
      <c r="M88" s="579"/>
      <c r="N88" s="1355" t="s">
        <v>1085</v>
      </c>
      <c r="O88" s="579"/>
    </row>
    <row r="89" spans="1:16" ht="16.5" thickTop="1" thickBot="1">
      <c r="A89" s="195" t="s">
        <v>135</v>
      </c>
      <c r="B89" s="1787" t="s">
        <v>136</v>
      </c>
      <c r="C89" s="200" t="s">
        <v>11</v>
      </c>
      <c r="D89" s="641">
        <f>Кап.вложения!E24</f>
        <v>0</v>
      </c>
      <c r="E89" s="641">
        <f>Кап.вложения!F24</f>
        <v>0</v>
      </c>
      <c r="F89" s="641"/>
      <c r="G89" s="641">
        <f>Кап.вложения!H24</f>
        <v>0</v>
      </c>
      <c r="H89" s="641" t="s">
        <v>1492</v>
      </c>
      <c r="I89" s="641"/>
      <c r="J89" s="641">
        <v>0</v>
      </c>
      <c r="K89" s="641">
        <v>0</v>
      </c>
      <c r="L89" s="641">
        <f>Кап.вложения!K24</f>
        <v>0</v>
      </c>
      <c r="M89" s="586">
        <v>0</v>
      </c>
      <c r="N89" s="587"/>
      <c r="O89" s="586"/>
      <c r="P89" s="403">
        <f>M82*0.03</f>
        <v>20698.623578374518</v>
      </c>
    </row>
    <row r="90" spans="1:16" ht="48" customHeight="1" thickTop="1" thickBot="1">
      <c r="A90" s="208" t="s">
        <v>138</v>
      </c>
      <c r="B90" s="209" t="s">
        <v>137</v>
      </c>
      <c r="C90" s="210" t="s">
        <v>11</v>
      </c>
      <c r="D90" s="641">
        <v>2670</v>
      </c>
      <c r="E90" s="641">
        <f>3985.1*0.59</f>
        <v>2351.2089999999998</v>
      </c>
      <c r="F90" s="641">
        <v>2518</v>
      </c>
      <c r="G90" s="641">
        <f>E90</f>
        <v>2351.2089999999998</v>
      </c>
      <c r="H90" s="641">
        <v>1275</v>
      </c>
      <c r="I90" s="641">
        <f>H90*2</f>
        <v>2550</v>
      </c>
      <c r="J90" s="641">
        <f>G90*1.045</f>
        <v>2457.0134049999997</v>
      </c>
      <c r="K90" s="641">
        <f>J90*1.043</f>
        <v>2562.6649814149996</v>
      </c>
      <c r="L90" s="642">
        <f>K90*1.043</f>
        <v>2672.8595756158443</v>
      </c>
      <c r="M90" s="586"/>
      <c r="N90" s="587"/>
      <c r="O90" s="586"/>
    </row>
    <row r="91" spans="1:16" ht="51" customHeight="1" thickTop="1" thickBot="1">
      <c r="A91" s="175" t="s">
        <v>139</v>
      </c>
      <c r="B91" s="204" t="s">
        <v>145</v>
      </c>
      <c r="C91" s="210" t="s">
        <v>11</v>
      </c>
      <c r="D91" s="641"/>
      <c r="E91" s="641"/>
      <c r="F91" s="641"/>
      <c r="G91" s="641"/>
      <c r="H91" s="641"/>
      <c r="I91" s="641"/>
      <c r="J91" s="641"/>
      <c r="K91" s="641"/>
      <c r="L91" s="642"/>
      <c r="M91" s="586"/>
      <c r="N91" s="587"/>
      <c r="O91" s="586"/>
    </row>
    <row r="92" spans="1:16" ht="37.5" customHeight="1" thickTop="1" thickBot="1">
      <c r="A92" s="176" t="s">
        <v>139</v>
      </c>
      <c r="B92" s="205" t="s">
        <v>757</v>
      </c>
      <c r="C92" s="211" t="s">
        <v>11</v>
      </c>
      <c r="D92" s="643"/>
      <c r="E92" s="643">
        <f>E82*3/100</f>
        <v>18487.16738393125</v>
      </c>
      <c r="F92" s="643">
        <v>18600</v>
      </c>
      <c r="G92" s="643">
        <f>G82*3/100</f>
        <v>20684.829884516133</v>
      </c>
      <c r="H92" s="643">
        <f>H82*3/100</f>
        <v>9661.3026168675333</v>
      </c>
      <c r="I92" s="643">
        <f>I82*3/100</f>
        <v>21525.512789531887</v>
      </c>
      <c r="J92" s="643">
        <f t="shared" ref="J92:L92" si="39">J82*3/100</f>
        <v>25437.284960044621</v>
      </c>
      <c r="K92" s="643">
        <f t="shared" si="39"/>
        <v>26571.964429739426</v>
      </c>
      <c r="L92" s="643">
        <f t="shared" si="39"/>
        <v>28302.743265087382</v>
      </c>
      <c r="M92" s="607"/>
      <c r="N92" s="1339"/>
      <c r="O92" s="607"/>
    </row>
    <row r="93" spans="1:16" ht="21.75" customHeight="1" thickBot="1">
      <c r="A93" s="183"/>
      <c r="B93" s="185" t="s">
        <v>142</v>
      </c>
      <c r="C93" s="185" t="s">
        <v>11</v>
      </c>
      <c r="D93" s="648">
        <f>D82+D85</f>
        <v>607761.66349926405</v>
      </c>
      <c r="E93" s="648">
        <f t="shared" ref="E93:L93" si="40">E82+E85</f>
        <v>641708.98918163951</v>
      </c>
      <c r="F93" s="648">
        <f t="shared" si="40"/>
        <v>648761.7790212098</v>
      </c>
      <c r="G93" s="648">
        <f t="shared" si="40"/>
        <v>716955.41232315928</v>
      </c>
      <c r="H93" s="648">
        <f t="shared" ref="H93:I93" si="41">H82+H85</f>
        <v>335163.56371907808</v>
      </c>
      <c r="I93" s="648">
        <f t="shared" si="41"/>
        <v>746429.0372120348</v>
      </c>
      <c r="J93" s="648">
        <f t="shared" si="40"/>
        <v>881365.39518210688</v>
      </c>
      <c r="K93" s="648">
        <f t="shared" si="40"/>
        <v>920708.87621789973</v>
      </c>
      <c r="L93" s="648">
        <f t="shared" si="40"/>
        <v>980612.81667078193</v>
      </c>
      <c r="M93" s="648">
        <f>M82+M85+M87</f>
        <v>689954.11927915062</v>
      </c>
      <c r="N93" s="1396"/>
      <c r="O93" s="1395"/>
    </row>
    <row r="94" spans="1:16" ht="26.25" hidden="1" thickBot="1">
      <c r="A94" s="167" t="s">
        <v>141</v>
      </c>
      <c r="B94" s="1788" t="s">
        <v>1298</v>
      </c>
      <c r="C94" s="28" t="s">
        <v>11</v>
      </c>
      <c r="D94" s="646">
        <f>SUM(D95:D97)</f>
        <v>0</v>
      </c>
      <c r="E94" s="646">
        <f t="shared" ref="E94:L94" si="42">SUM(E95:E97)</f>
        <v>0</v>
      </c>
      <c r="F94" s="646">
        <v>6544.98</v>
      </c>
      <c r="G94" s="646">
        <f t="shared" si="42"/>
        <v>0</v>
      </c>
      <c r="H94" s="646">
        <f t="shared" ref="H94:I94" si="43">SUM(H95:H97)</f>
        <v>0</v>
      </c>
      <c r="I94" s="646">
        <f t="shared" si="43"/>
        <v>0</v>
      </c>
      <c r="J94" s="646">
        <f>'расшифровки ВС_2016'!J460</f>
        <v>6758.2120000000004</v>
      </c>
      <c r="K94" s="646">
        <f t="shared" si="42"/>
        <v>0</v>
      </c>
      <c r="L94" s="646">
        <f t="shared" si="42"/>
        <v>0</v>
      </c>
      <c r="M94" s="549">
        <v>1067.29</v>
      </c>
      <c r="N94" s="549">
        <f t="shared" ref="N94:O94" si="44">SUM(N95:N97)</f>
        <v>0</v>
      </c>
      <c r="O94" s="549">
        <f t="shared" si="44"/>
        <v>0</v>
      </c>
    </row>
    <row r="95" spans="1:16" ht="54" hidden="1" customHeight="1" thickBot="1">
      <c r="A95" s="720" t="s">
        <v>377</v>
      </c>
      <c r="B95" s="721" t="s">
        <v>378</v>
      </c>
      <c r="C95" s="722" t="s">
        <v>11</v>
      </c>
      <c r="D95" s="723"/>
      <c r="E95" s="723"/>
      <c r="F95" s="723">
        <v>6544.98</v>
      </c>
      <c r="G95" s="723"/>
      <c r="H95" s="723"/>
      <c r="I95" s="723"/>
      <c r="J95" s="723"/>
      <c r="K95" s="723"/>
      <c r="L95" s="724"/>
      <c r="M95" s="600" t="e">
        <f>'расшифровки ВС_2016'!#REF!</f>
        <v>#REF!</v>
      </c>
      <c r="N95" s="608"/>
      <c r="O95" s="600"/>
    </row>
    <row r="96" spans="1:16" ht="27" hidden="1" thickTop="1" thickBot="1">
      <c r="A96" s="175" t="s">
        <v>379</v>
      </c>
      <c r="B96" s="204" t="s">
        <v>1055</v>
      </c>
      <c r="C96" s="210" t="s">
        <v>11</v>
      </c>
      <c r="D96" s="641"/>
      <c r="E96" s="641"/>
      <c r="F96" s="641"/>
      <c r="G96" s="641"/>
      <c r="H96" s="641"/>
      <c r="I96" s="641"/>
      <c r="J96" s="641"/>
      <c r="K96" s="641"/>
      <c r="L96" s="642"/>
      <c r="M96" s="586"/>
      <c r="N96" s="609"/>
      <c r="O96" s="586"/>
    </row>
    <row r="97" spans="1:27" ht="52.5" hidden="1" thickTop="1" thickBot="1">
      <c r="A97" s="176" t="s">
        <v>381</v>
      </c>
      <c r="B97" s="205" t="s">
        <v>382</v>
      </c>
      <c r="C97" s="211" t="s">
        <v>11</v>
      </c>
      <c r="D97" s="643"/>
      <c r="E97" s="643"/>
      <c r="F97" s="643"/>
      <c r="G97" s="643"/>
      <c r="H97" s="643"/>
      <c r="I97" s="643"/>
      <c r="J97" s="1330"/>
      <c r="K97" s="1330"/>
      <c r="L97" s="1331"/>
      <c r="M97" s="607"/>
      <c r="N97" s="610"/>
      <c r="O97" s="607"/>
    </row>
    <row r="98" spans="1:27" ht="26.25" hidden="1" thickBot="1">
      <c r="A98" s="167" t="s">
        <v>1075</v>
      </c>
      <c r="B98" s="168" t="s">
        <v>1072</v>
      </c>
      <c r="C98" s="28" t="s">
        <v>11</v>
      </c>
      <c r="D98" s="646"/>
      <c r="E98" s="646"/>
      <c r="F98" s="646">
        <f>F99+F100</f>
        <v>-26538.489999999998</v>
      </c>
      <c r="G98" s="646"/>
      <c r="H98" s="646"/>
      <c r="I98" s="646"/>
      <c r="J98" s="646"/>
      <c r="K98" s="646"/>
      <c r="L98" s="646"/>
      <c r="M98" s="549" t="e">
        <f>M99+M100</f>
        <v>#REF!</v>
      </c>
      <c r="N98" s="549"/>
      <c r="O98" s="1811"/>
    </row>
    <row r="99" spans="1:27" ht="50.25" hidden="1" customHeight="1">
      <c r="A99" s="1807" t="s">
        <v>1076</v>
      </c>
      <c r="B99" s="1808" t="s">
        <v>1073</v>
      </c>
      <c r="C99" s="211" t="s">
        <v>11</v>
      </c>
      <c r="D99" s="643"/>
      <c r="E99" s="643"/>
      <c r="F99" s="643">
        <v>-5465.62</v>
      </c>
      <c r="G99" s="643"/>
      <c r="H99" s="643"/>
      <c r="I99" s="643"/>
      <c r="J99" s="643"/>
      <c r="K99" s="643"/>
      <c r="L99" s="1809"/>
      <c r="M99" s="1339" t="e">
        <f>-'расшифровки ВС_2016'!#REF!</f>
        <v>#REF!</v>
      </c>
      <c r="N99" s="1810"/>
      <c r="O99" s="1810"/>
    </row>
    <row r="100" spans="1:27" s="1" customFormat="1" ht="51" hidden="1">
      <c r="A100" s="1347" t="s">
        <v>1077</v>
      </c>
      <c r="B100" s="1348" t="s">
        <v>1099</v>
      </c>
      <c r="C100" s="1349" t="s">
        <v>11</v>
      </c>
      <c r="D100" s="1350"/>
      <c r="E100" s="1350"/>
      <c r="F100" s="1350">
        <v>-21072.87</v>
      </c>
      <c r="G100" s="1350"/>
      <c r="H100" s="1350"/>
      <c r="I100" s="1350"/>
      <c r="J100" s="1350"/>
      <c r="K100" s="1350"/>
      <c r="L100" s="1350"/>
      <c r="M100" s="1351" t="e">
        <f>-'расшифровки ВС_2016'!#REF!</f>
        <v>#REF!</v>
      </c>
      <c r="N100" s="1351"/>
      <c r="O100" s="1351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</row>
    <row r="101" spans="1:27" s="56" customFormat="1" ht="25.5" hidden="1">
      <c r="A101" s="1352" t="s">
        <v>1075</v>
      </c>
      <c r="B101" s="181" t="s">
        <v>1097</v>
      </c>
      <c r="C101" s="182" t="s">
        <v>11</v>
      </c>
      <c r="D101" s="1353"/>
      <c r="E101" s="1353"/>
      <c r="F101" s="1353">
        <f>F102+F103+F104</f>
        <v>-11655.22</v>
      </c>
      <c r="G101" s="1353"/>
      <c r="H101" s="1353"/>
      <c r="I101" s="1353"/>
      <c r="J101" s="1353"/>
      <c r="K101" s="1353"/>
      <c r="L101" s="1353"/>
      <c r="M101" s="1354"/>
      <c r="N101" s="1354"/>
      <c r="O101" s="1354"/>
    </row>
    <row r="102" spans="1:27" s="56" customFormat="1" hidden="1">
      <c r="A102" s="1340"/>
      <c r="B102" s="1341" t="s">
        <v>1084</v>
      </c>
      <c r="C102" s="1349" t="s">
        <v>11</v>
      </c>
      <c r="D102" s="1337"/>
      <c r="E102" s="1337"/>
      <c r="F102" s="1337">
        <v>-9128.6299999999992</v>
      </c>
      <c r="G102" s="1337"/>
      <c r="H102" s="1337"/>
      <c r="I102" s="1337"/>
      <c r="J102" s="1337"/>
      <c r="K102" s="1337"/>
      <c r="L102" s="1337"/>
      <c r="M102" s="1338"/>
      <c r="N102" s="1338"/>
      <c r="O102" s="1338"/>
    </row>
    <row r="103" spans="1:27" s="56" customFormat="1" ht="38.25" hidden="1">
      <c r="A103" s="1340"/>
      <c r="B103" s="1341" t="s">
        <v>1086</v>
      </c>
      <c r="C103" s="1349" t="s">
        <v>11</v>
      </c>
      <c r="D103" s="1337"/>
      <c r="E103" s="1337"/>
      <c r="F103" s="1337">
        <v>-1489.77</v>
      </c>
      <c r="G103" s="1337"/>
      <c r="H103" s="1337"/>
      <c r="I103" s="1337"/>
      <c r="J103" s="1337"/>
      <c r="K103" s="1337"/>
      <c r="L103" s="1337"/>
      <c r="M103" s="1338"/>
      <c r="N103" s="1338"/>
      <c r="O103" s="1338"/>
    </row>
    <row r="104" spans="1:27" s="56" customFormat="1" ht="25.5" hidden="1">
      <c r="A104" s="1340"/>
      <c r="B104" s="1341" t="s">
        <v>1093</v>
      </c>
      <c r="C104" s="1379" t="s">
        <v>11</v>
      </c>
      <c r="D104" s="1337"/>
      <c r="E104" s="1337"/>
      <c r="F104" s="1337">
        <v>-1036.82</v>
      </c>
      <c r="G104" s="1337"/>
      <c r="H104" s="1337"/>
      <c r="I104" s="1337"/>
      <c r="J104" s="1337"/>
      <c r="K104" s="1337"/>
      <c r="L104" s="1337"/>
      <c r="M104" s="1338"/>
      <c r="N104" s="1338"/>
      <c r="O104" s="1338"/>
    </row>
    <row r="105" spans="1:27" ht="15.75" thickBot="1">
      <c r="A105" s="1332"/>
      <c r="B105" s="1333" t="s">
        <v>142</v>
      </c>
      <c r="C105" s="1334" t="s">
        <v>11</v>
      </c>
      <c r="D105" s="1183">
        <f>D93+D94+D98+D101</f>
        <v>607761.66349926405</v>
      </c>
      <c r="E105" s="1183">
        <f t="shared" ref="E105:J105" si="45">E93+E94+E98+E101</f>
        <v>641708.98918163951</v>
      </c>
      <c r="F105" s="1183">
        <f t="shared" si="45"/>
        <v>617113.04902120982</v>
      </c>
      <c r="G105" s="1183">
        <f t="shared" si="45"/>
        <v>716955.41232315928</v>
      </c>
      <c r="H105" s="1183">
        <f t="shared" ref="H105:I105" si="46">H93+H94+H98+H101</f>
        <v>335163.56371907808</v>
      </c>
      <c r="I105" s="1183">
        <f t="shared" si="46"/>
        <v>746429.0372120348</v>
      </c>
      <c r="J105" s="1183">
        <f t="shared" si="45"/>
        <v>888123.60718210693</v>
      </c>
      <c r="K105" s="1183">
        <f>K82+K85+K94</f>
        <v>920708.87621789973</v>
      </c>
      <c r="L105" s="1183">
        <f>L82+L85+L94</f>
        <v>980612.81667078193</v>
      </c>
      <c r="M105" s="1335">
        <f>M93-M94</f>
        <v>688886.82927915058</v>
      </c>
      <c r="N105" s="1336"/>
      <c r="O105" s="1335"/>
    </row>
    <row r="106" spans="1:27" ht="15.75" thickBot="1">
      <c r="A106" s="186"/>
      <c r="B106" s="184" t="s">
        <v>387</v>
      </c>
      <c r="C106" s="185" t="s">
        <v>146</v>
      </c>
      <c r="D106" s="649">
        <v>42669.17</v>
      </c>
      <c r="E106" s="1803">
        <v>35819.502</v>
      </c>
      <c r="F106" s="1783">
        <v>40569.167999999998</v>
      </c>
      <c r="G106" s="649">
        <v>34884.449999999997</v>
      </c>
      <c r="H106" s="649">
        <f>G106/2</f>
        <v>17442.224999999999</v>
      </c>
      <c r="I106" s="649">
        <v>34885.449999999997</v>
      </c>
      <c r="J106" s="649">
        <v>35490.811999999998</v>
      </c>
      <c r="K106" s="649">
        <v>35181.629999999997</v>
      </c>
      <c r="L106" s="649">
        <v>35788.097999999998</v>
      </c>
      <c r="M106" s="1394">
        <f>'Баланс ВС_2016 (2)'!O48</f>
        <v>40762.129321767512</v>
      </c>
      <c r="N106" s="612"/>
      <c r="O106" s="611"/>
      <c r="Q106" s="403"/>
    </row>
    <row r="107" spans="1:27" ht="15.75" thickBot="1">
      <c r="A107" s="134"/>
      <c r="B107" s="137" t="s">
        <v>1083</v>
      </c>
      <c r="C107" s="135" t="s">
        <v>143</v>
      </c>
      <c r="D107" s="650">
        <f>D105/(D106)</f>
        <v>14.24357829081897</v>
      </c>
      <c r="E107" s="650">
        <f>E105/(E106)</f>
        <v>17.915072889110505</v>
      </c>
      <c r="F107" s="650">
        <f>F105/(F106)</f>
        <v>15.211380450819446</v>
      </c>
      <c r="G107" s="650">
        <f t="shared" ref="G107:L107" si="47">G105/(G106)</f>
        <v>20.552292277021976</v>
      </c>
      <c r="H107" s="650">
        <f t="shared" ref="H107:I107" si="48">H105/(H106)</f>
        <v>19.21564271296111</v>
      </c>
      <c r="I107" s="650">
        <f t="shared" si="48"/>
        <v>21.396571843333966</v>
      </c>
      <c r="J107" s="650">
        <f t="shared" si="47"/>
        <v>25.024043044777532</v>
      </c>
      <c r="K107" s="650">
        <f t="shared" si="47"/>
        <v>26.170159717383754</v>
      </c>
      <c r="L107" s="650">
        <f t="shared" si="47"/>
        <v>27.400528987899328</v>
      </c>
      <c r="M107" s="551">
        <f>M105/M106</f>
        <v>16.900167894597104</v>
      </c>
      <c r="N107" s="551"/>
      <c r="O107" s="551"/>
    </row>
    <row r="108" spans="1:27" ht="15.75" thickBot="1">
      <c r="A108" s="187"/>
      <c r="B108" s="188" t="s">
        <v>389</v>
      </c>
      <c r="C108" s="189" t="s">
        <v>280</v>
      </c>
      <c r="D108" s="651"/>
      <c r="E108" s="651"/>
      <c r="F108" s="2426"/>
      <c r="G108" s="2426">
        <f t="shared" ref="G108:L108" si="49">(G107/F107-1)*100</f>
        <v>35.111289494536393</v>
      </c>
      <c r="H108" s="2426">
        <f t="shared" si="49"/>
        <v>-6.5036519821941141</v>
      </c>
      <c r="I108" s="2426">
        <f t="shared" si="49"/>
        <v>11.349758959151558</v>
      </c>
      <c r="J108" s="2426">
        <f t="shared" si="49"/>
        <v>16.95351586227909</v>
      </c>
      <c r="K108" s="2426">
        <f t="shared" si="49"/>
        <v>4.580061945047742</v>
      </c>
      <c r="L108" s="2426">
        <f t="shared" si="49"/>
        <v>4.7014205637357698</v>
      </c>
      <c r="M108" s="613"/>
      <c r="N108" s="614"/>
      <c r="O108" s="552"/>
    </row>
    <row r="109" spans="1:27" ht="15.75" thickTop="1">
      <c r="A109" s="56"/>
      <c r="B109" s="213"/>
      <c r="C109" s="214"/>
      <c r="D109" s="615"/>
      <c r="E109" s="615"/>
      <c r="F109" s="2427" t="s">
        <v>1334</v>
      </c>
      <c r="G109" s="2428">
        <f>(G107/F107-1)*100</f>
        <v>35.111289494536393</v>
      </c>
      <c r="H109" s="2428">
        <f>(H107/F107-1)*100</f>
        <v>26.324121437156943</v>
      </c>
      <c r="I109" s="2428">
        <f>(I107/F107-1)*100</f>
        <v>40.661604727540166</v>
      </c>
      <c r="J109" s="2428">
        <f>(J107/F107-1)*100</f>
        <v>64.508692197160002</v>
      </c>
      <c r="K109" s="2428">
        <f>(K107/F107-1)*100</f>
        <v>72.043292204777856</v>
      </c>
      <c r="L109" s="2428">
        <f>(L107/F107-1)*100</f>
        <v>80.131770923021278</v>
      </c>
      <c r="M109" s="615"/>
    </row>
    <row r="110" spans="1:27" hidden="1">
      <c r="A110" s="56"/>
      <c r="B110" s="213"/>
      <c r="C110" s="214"/>
      <c r="D110" s="813"/>
      <c r="E110" s="615"/>
      <c r="F110" s="2427"/>
      <c r="G110" s="2427"/>
      <c r="H110" s="2427"/>
      <c r="I110" s="2427"/>
      <c r="J110" s="2427"/>
      <c r="K110" s="2427"/>
      <c r="L110" s="2427"/>
      <c r="M110" s="615"/>
    </row>
    <row r="111" spans="1:27" hidden="1">
      <c r="A111" s="56"/>
      <c r="B111" s="213"/>
      <c r="C111" s="214"/>
      <c r="D111" s="814">
        <f t="shared" ref="D111:L111" si="50">D82/D106</f>
        <v>14.180990009865768</v>
      </c>
      <c r="E111" s="814">
        <f t="shared" si="50"/>
        <v>17.204005594430328</v>
      </c>
      <c r="F111" s="512">
        <f t="shared" si="50"/>
        <v>15.366846542704792</v>
      </c>
      <c r="G111" s="512">
        <f t="shared" si="50"/>
        <v>19.765091021468624</v>
      </c>
      <c r="H111" s="512"/>
      <c r="I111" s="512"/>
      <c r="J111" s="512">
        <f t="shared" si="50"/>
        <v>23.890957994090247</v>
      </c>
      <c r="K111" s="512">
        <f t="shared" si="50"/>
        <v>25.175983820476223</v>
      </c>
      <c r="L111" s="512">
        <f t="shared" si="50"/>
        <v>26.361411425187022</v>
      </c>
      <c r="M111" s="615"/>
    </row>
    <row r="112" spans="1:27" hidden="1">
      <c r="F112" s="1135"/>
      <c r="G112" s="1135"/>
      <c r="H112" s="1135"/>
      <c r="I112" s="1135"/>
      <c r="J112" s="1135"/>
      <c r="K112" s="1135"/>
      <c r="L112" s="1135"/>
    </row>
    <row r="113" spans="1:17" ht="30" hidden="1">
      <c r="A113" s="70"/>
      <c r="B113" s="133" t="s">
        <v>373</v>
      </c>
      <c r="C113" s="70" t="s">
        <v>11</v>
      </c>
      <c r="D113" s="616"/>
      <c r="E113" s="2423"/>
      <c r="F113" s="616"/>
      <c r="G113" s="616"/>
      <c r="H113" s="616"/>
      <c r="I113" s="616"/>
      <c r="J113" s="616"/>
      <c r="K113" s="616"/>
      <c r="L113" s="616"/>
      <c r="M113" s="2424"/>
      <c r="N113" s="616"/>
      <c r="O113" s="616"/>
    </row>
    <row r="114" spans="1:17" hidden="1">
      <c r="F114" s="1135"/>
      <c r="G114" s="1135"/>
      <c r="H114" s="1135"/>
      <c r="I114" s="1135"/>
      <c r="J114" s="1135"/>
      <c r="K114" s="1135"/>
      <c r="L114" s="1135"/>
    </row>
    <row r="115" spans="1:17" ht="27" customHeight="1">
      <c r="D115"/>
      <c r="E115"/>
      <c r="F115" s="1" t="s">
        <v>1528</v>
      </c>
      <c r="G115" s="1344">
        <f>G107*1.18</f>
        <v>24.251704886885932</v>
      </c>
      <c r="H115" s="1344">
        <f t="shared" ref="H115:L115" si="51">H107*1.18</f>
        <v>22.674458401294107</v>
      </c>
      <c r="I115" s="1344">
        <f t="shared" si="51"/>
        <v>25.24795477513408</v>
      </c>
      <c r="J115" s="1344">
        <f t="shared" si="51"/>
        <v>29.528370792837485</v>
      </c>
      <c r="K115" s="1344">
        <f t="shared" si="51"/>
        <v>30.880788466512829</v>
      </c>
      <c r="L115" s="1344">
        <f t="shared" si="51"/>
        <v>32.332624205721203</v>
      </c>
      <c r="M115" s="2425" t="s">
        <v>1101</v>
      </c>
      <c r="N115" s="1342" t="s">
        <v>1320</v>
      </c>
      <c r="O115" s="1342" t="s">
        <v>1321</v>
      </c>
      <c r="P115" s="1403" t="s">
        <v>1079</v>
      </c>
      <c r="Q115" s="1342" t="s">
        <v>1080</v>
      </c>
    </row>
    <row r="116" spans="1:17">
      <c r="D116"/>
      <c r="E116"/>
      <c r="F116"/>
      <c r="G116"/>
      <c r="H116"/>
      <c r="I116" s="403"/>
      <c r="J116"/>
      <c r="K116"/>
      <c r="L116"/>
      <c r="M116" s="1343" t="s">
        <v>1078</v>
      </c>
      <c r="N116" s="1404">
        <f>M106/2</f>
        <v>20381.064660883756</v>
      </c>
      <c r="O116" s="1404">
        <f>M106-N116</f>
        <v>20381.064660883756</v>
      </c>
      <c r="P116" s="1405">
        <f>N116+O116</f>
        <v>40762.129321767512</v>
      </c>
      <c r="Q116" s="1406"/>
    </row>
    <row r="117" spans="1:17">
      <c r="D117"/>
      <c r="E117"/>
      <c r="F117"/>
      <c r="G117"/>
      <c r="H117"/>
      <c r="I117"/>
      <c r="J117"/>
      <c r="K117"/>
      <c r="L117"/>
      <c r="M117" s="1343" t="s">
        <v>1081</v>
      </c>
      <c r="N117" s="1407"/>
      <c r="O117" s="1413"/>
      <c r="P117" s="1408">
        <f>P118/P116</f>
        <v>16.900167894597104</v>
      </c>
      <c r="Q117" s="1409" t="e">
        <f>O117/N117</f>
        <v>#DIV/0!</v>
      </c>
    </row>
    <row r="118" spans="1:17" ht="21.75" customHeight="1">
      <c r="D118"/>
      <c r="E118"/>
      <c r="F118"/>
      <c r="G118"/>
      <c r="H118"/>
      <c r="I118"/>
      <c r="J118"/>
      <c r="K118"/>
      <c r="L118"/>
      <c r="M118" s="1343" t="s">
        <v>1082</v>
      </c>
      <c r="N118" s="1410">
        <f>N116*N117</f>
        <v>0</v>
      </c>
      <c r="O118" s="1404">
        <f>M105-N118</f>
        <v>688886.82927915058</v>
      </c>
      <c r="P118" s="1405">
        <f>N118+O118</f>
        <v>688886.82927915058</v>
      </c>
      <c r="Q118" s="1406"/>
    </row>
    <row r="119" spans="1:17" hidden="1">
      <c r="D119"/>
      <c r="E119"/>
      <c r="F119"/>
      <c r="G119"/>
      <c r="H119"/>
      <c r="I119"/>
      <c r="J119"/>
      <c r="K119"/>
      <c r="L119"/>
    </row>
    <row r="120" spans="1:17" hidden="1">
      <c r="D120"/>
      <c r="E120"/>
      <c r="F120"/>
      <c r="G120"/>
      <c r="H120"/>
      <c r="I120"/>
      <c r="J120"/>
      <c r="K120"/>
      <c r="L120"/>
    </row>
    <row r="121" spans="1:17" hidden="1">
      <c r="C121" t="s">
        <v>1026</v>
      </c>
      <c r="D121"/>
      <c r="E121"/>
      <c r="F121"/>
      <c r="G121"/>
      <c r="H121"/>
      <c r="I121"/>
      <c r="J121"/>
      <c r="K121"/>
      <c r="L121"/>
    </row>
    <row r="122" spans="1:17" hidden="1">
      <c r="D122"/>
      <c r="E122"/>
      <c r="F122"/>
      <c r="G122"/>
      <c r="H122"/>
      <c r="I122"/>
      <c r="J122"/>
      <c r="K122"/>
      <c r="L122"/>
    </row>
    <row r="123" spans="1:17" hidden="1">
      <c r="D123"/>
      <c r="E123"/>
      <c r="F123"/>
      <c r="G123"/>
      <c r="H123"/>
      <c r="I123"/>
      <c r="J123"/>
      <c r="K123"/>
      <c r="L123"/>
    </row>
    <row r="124" spans="1:17">
      <c r="D124"/>
      <c r="E124"/>
      <c r="F124"/>
      <c r="G124"/>
      <c r="H124"/>
      <c r="I124"/>
      <c r="J124"/>
      <c r="K124"/>
      <c r="L124"/>
    </row>
    <row r="125" spans="1:17">
      <c r="D125"/>
      <c r="E125"/>
      <c r="F125"/>
      <c r="G125"/>
      <c r="H125"/>
      <c r="I125"/>
      <c r="J125"/>
      <c r="K125"/>
      <c r="L125"/>
    </row>
    <row r="126" spans="1:17">
      <c r="D126"/>
      <c r="E126"/>
      <c r="F126"/>
      <c r="G126" s="500">
        <v>18039.246000000003</v>
      </c>
      <c r="H126" s="500">
        <v>36258.884460000001</v>
      </c>
      <c r="I126" s="500">
        <v>43393.107324999997</v>
      </c>
      <c r="J126" s="500">
        <v>73502.179965000003</v>
      </c>
      <c r="K126" s="500">
        <v>100250.80497499999</v>
      </c>
      <c r="L126"/>
    </row>
    <row r="127" spans="1:17">
      <c r="D127"/>
      <c r="E127"/>
      <c r="F127"/>
      <c r="G127" s="500">
        <v>15527.570000000002</v>
      </c>
      <c r="H127" s="500">
        <v>31210.415700000001</v>
      </c>
      <c r="I127" s="500">
        <v>41126.863845</v>
      </c>
      <c r="J127" s="500">
        <v>69815.529024999996</v>
      </c>
      <c r="K127" s="500">
        <v>151996.18331999998</v>
      </c>
      <c r="L127"/>
    </row>
    <row r="128" spans="1:17">
      <c r="D128"/>
      <c r="E128"/>
      <c r="F128"/>
      <c r="G128" s="403">
        <f>SUM(G126:G127)</f>
        <v>33566.816000000006</v>
      </c>
      <c r="H128" s="403">
        <f t="shared" ref="H128:K128" si="52">SUM(H126:H127)</f>
        <v>67469.300159999999</v>
      </c>
      <c r="I128" s="403">
        <f t="shared" si="52"/>
        <v>84519.971170000004</v>
      </c>
      <c r="J128" s="403">
        <f t="shared" si="52"/>
        <v>143317.70899000001</v>
      </c>
      <c r="K128" s="403">
        <f t="shared" si="52"/>
        <v>252246.98829499999</v>
      </c>
      <c r="L128"/>
    </row>
    <row r="129" spans="4:12">
      <c r="D129"/>
      <c r="E129"/>
      <c r="F129"/>
      <c r="G129"/>
      <c r="I129" s="500">
        <v>119948.9</v>
      </c>
      <c r="J129" s="500">
        <v>192687.86</v>
      </c>
      <c r="K129" s="500">
        <v>314292.46999999997</v>
      </c>
      <c r="L129"/>
    </row>
    <row r="130" spans="4:12">
      <c r="I130" s="554">
        <f>I128/I129</f>
        <v>0.7046331493661051</v>
      </c>
      <c r="J130" s="554">
        <f t="shared" ref="J130:K130" si="53">J128/J129</f>
        <v>0.74378172548078547</v>
      </c>
      <c r="K130" s="554">
        <f t="shared" si="53"/>
        <v>0.80258680169779439</v>
      </c>
    </row>
  </sheetData>
  <mergeCells count="17">
    <mergeCell ref="O6:O7"/>
    <mergeCell ref="N6:N7"/>
    <mergeCell ref="M6:M7"/>
    <mergeCell ref="A79:A80"/>
    <mergeCell ref="K6:K7"/>
    <mergeCell ref="L6:L7"/>
    <mergeCell ref="H6:H7"/>
    <mergeCell ref="I6:I7"/>
    <mergeCell ref="A3:J3"/>
    <mergeCell ref="D6:E6"/>
    <mergeCell ref="F6:G6"/>
    <mergeCell ref="J6:J7"/>
    <mergeCell ref="A5:A7"/>
    <mergeCell ref="B5:B7"/>
    <mergeCell ref="C5:C7"/>
    <mergeCell ref="D5:L5"/>
    <mergeCell ref="C4:F4"/>
  </mergeCells>
  <pageMargins left="0.19685039370078741" right="0.11811023622047245" top="0.15748031496062992" bottom="0.15748031496062992" header="0.31496062992125984" footer="0.31496062992125984"/>
  <pageSetup paperSize="9" scale="7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2:S476"/>
  <sheetViews>
    <sheetView topLeftCell="A467" zoomScale="80" zoomScaleNormal="80" workbookViewId="0">
      <selection activeCell="A424" sqref="A424:O446"/>
    </sheetView>
  </sheetViews>
  <sheetFormatPr defaultRowHeight="15"/>
  <cols>
    <col min="1" max="1" width="6.42578125" customWidth="1"/>
    <col min="2" max="2" width="37.140625" customWidth="1"/>
    <col min="3" max="3" width="10.85546875" customWidth="1"/>
    <col min="4" max="4" width="13" customWidth="1"/>
    <col min="5" max="5" width="14" customWidth="1"/>
    <col min="6" max="6" width="14.140625" customWidth="1"/>
    <col min="7" max="7" width="15.42578125" customWidth="1"/>
    <col min="8" max="8" width="13.28515625" customWidth="1"/>
    <col min="9" max="9" width="15" customWidth="1"/>
    <col min="10" max="10" width="14.140625" customWidth="1"/>
    <col min="11" max="12" width="13.7109375" hidden="1" customWidth="1"/>
    <col min="13" max="13" width="14.42578125" customWidth="1"/>
    <col min="14" max="14" width="11.5703125" customWidth="1"/>
    <col min="15" max="15" width="12.7109375" customWidth="1"/>
    <col min="16" max="16" width="9.7109375" customWidth="1"/>
    <col min="17" max="17" width="9" customWidth="1"/>
    <col min="18" max="18" width="12.140625" customWidth="1"/>
    <col min="19" max="19" width="9.85546875" customWidth="1"/>
  </cols>
  <sheetData>
    <row r="2" spans="1:15">
      <c r="F2" s="3457" t="s">
        <v>168</v>
      </c>
      <c r="G2" s="3457"/>
      <c r="H2" s="3457"/>
      <c r="I2" s="3457"/>
      <c r="J2" s="3457"/>
    </row>
    <row r="3" spans="1:15">
      <c r="B3" s="987" t="s">
        <v>1268</v>
      </c>
      <c r="F3" s="3457" t="s">
        <v>169</v>
      </c>
      <c r="G3" s="3457"/>
      <c r="H3" s="3457"/>
      <c r="I3" s="3457"/>
      <c r="J3" s="3457"/>
    </row>
    <row r="4" spans="1:15">
      <c r="B4" s="987" t="s">
        <v>455</v>
      </c>
      <c r="F4" s="58" t="s">
        <v>294</v>
      </c>
      <c r="G4" s="58"/>
      <c r="H4" s="58"/>
      <c r="I4" s="58"/>
      <c r="J4" s="58"/>
    </row>
    <row r="5" spans="1:15">
      <c r="F5" s="3457" t="s">
        <v>170</v>
      </c>
      <c r="G5" s="3457"/>
      <c r="H5" s="3457"/>
      <c r="I5" s="3457"/>
      <c r="J5" s="3457"/>
    </row>
    <row r="6" spans="1:15" ht="18.75">
      <c r="A6" s="360" t="s">
        <v>483</v>
      </c>
      <c r="F6" s="355"/>
      <c r="G6" s="355"/>
      <c r="H6" s="1960"/>
      <c r="I6" s="1960"/>
      <c r="J6" s="355"/>
    </row>
    <row r="7" spans="1:15">
      <c r="J7" s="355"/>
    </row>
    <row r="8" spans="1:15" ht="15.75" thickBot="1">
      <c r="B8" s="57" t="s">
        <v>1796</v>
      </c>
    </row>
    <row r="9" spans="1:15" ht="15.75" customHeight="1" thickBot="1">
      <c r="A9" s="3389" t="s">
        <v>0</v>
      </c>
      <c r="B9" s="3389" t="s">
        <v>1</v>
      </c>
      <c r="C9" s="3389" t="s">
        <v>2</v>
      </c>
      <c r="D9" s="3432" t="s">
        <v>165</v>
      </c>
      <c r="E9" s="3433"/>
      <c r="F9" s="3433"/>
      <c r="G9" s="3433"/>
      <c r="H9" s="3433"/>
      <c r="I9" s="3433"/>
      <c r="J9" s="3433"/>
      <c r="K9" s="1448"/>
      <c r="L9" s="1448"/>
      <c r="M9" s="3469" t="s">
        <v>1460</v>
      </c>
      <c r="N9" s="3198"/>
      <c r="O9" s="3199"/>
    </row>
    <row r="10" spans="1:15" ht="15.75" customHeight="1" thickBot="1">
      <c r="A10" s="3401"/>
      <c r="B10" s="3401"/>
      <c r="C10" s="3401"/>
      <c r="D10" s="3458" t="s">
        <v>1200</v>
      </c>
      <c r="E10" s="3458"/>
      <c r="F10" s="3418">
        <v>2015</v>
      </c>
      <c r="G10" s="3419"/>
      <c r="H10" s="3389" t="s">
        <v>1375</v>
      </c>
      <c r="I10" s="3389" t="s">
        <v>1376</v>
      </c>
      <c r="J10" s="3389" t="s">
        <v>394</v>
      </c>
      <c r="K10" s="3389" t="s">
        <v>395</v>
      </c>
      <c r="L10" s="3389" t="s">
        <v>1155</v>
      </c>
      <c r="M10" s="3470"/>
      <c r="N10" s="3200"/>
      <c r="O10" s="3201"/>
    </row>
    <row r="11" spans="1:15" ht="26.25" customHeight="1" thickBot="1">
      <c r="A11" s="3390"/>
      <c r="B11" s="3390"/>
      <c r="C11" s="3390"/>
      <c r="D11" s="990" t="s">
        <v>5</v>
      </c>
      <c r="E11" s="4" t="s">
        <v>6</v>
      </c>
      <c r="F11" s="4" t="s">
        <v>7</v>
      </c>
      <c r="G11" s="4" t="s">
        <v>8</v>
      </c>
      <c r="H11" s="3390"/>
      <c r="I11" s="3390"/>
      <c r="J11" s="3390"/>
      <c r="K11" s="3390"/>
      <c r="L11" s="3390"/>
      <c r="M11" s="2560">
        <v>2016</v>
      </c>
      <c r="N11" s="2538">
        <v>2017</v>
      </c>
      <c r="O11" s="2561">
        <v>2018</v>
      </c>
    </row>
    <row r="12" spans="1:15" hidden="1">
      <c r="A12" s="32">
        <v>1</v>
      </c>
      <c r="B12" s="991">
        <v>2</v>
      </c>
      <c r="C12" s="991">
        <v>3</v>
      </c>
      <c r="D12" s="991">
        <v>4</v>
      </c>
      <c r="E12" s="991">
        <v>5</v>
      </c>
      <c r="F12" s="991">
        <v>6</v>
      </c>
      <c r="G12" s="991">
        <v>7</v>
      </c>
      <c r="H12" s="51" t="s">
        <v>1377</v>
      </c>
      <c r="I12" s="51" t="s">
        <v>1378</v>
      </c>
      <c r="J12" s="51">
        <v>8</v>
      </c>
      <c r="K12" s="506">
        <v>9</v>
      </c>
      <c r="L12" s="506">
        <v>10</v>
      </c>
      <c r="M12" s="2562">
        <v>11</v>
      </c>
      <c r="N12" s="384">
        <v>12</v>
      </c>
      <c r="O12" s="2563">
        <v>13</v>
      </c>
    </row>
    <row r="13" spans="1:15">
      <c r="A13" s="996" t="s">
        <v>147</v>
      </c>
      <c r="B13" s="39" t="s">
        <v>13</v>
      </c>
      <c r="C13" s="39"/>
      <c r="D13" s="39"/>
      <c r="E13" s="40"/>
      <c r="F13" s="40"/>
      <c r="G13" s="40"/>
      <c r="H13" s="52"/>
      <c r="I13" s="52"/>
      <c r="J13" s="52" t="s">
        <v>1332</v>
      </c>
      <c r="K13" s="52" t="s">
        <v>1333</v>
      </c>
      <c r="L13" s="52" t="s">
        <v>1333</v>
      </c>
      <c r="M13" s="1603" t="s">
        <v>1645</v>
      </c>
      <c r="N13" s="52"/>
      <c r="O13" s="997"/>
    </row>
    <row r="14" spans="1:15">
      <c r="A14" s="538" t="s">
        <v>10</v>
      </c>
      <c r="B14" s="2378" t="s">
        <v>544</v>
      </c>
      <c r="C14" s="2379"/>
      <c r="D14" s="2379"/>
      <c r="E14" s="2379"/>
      <c r="F14" s="2379"/>
      <c r="G14" s="2379"/>
      <c r="H14" s="2379"/>
      <c r="I14" s="2379"/>
      <c r="J14" s="2379"/>
      <c r="K14" s="2379"/>
      <c r="L14" s="2379"/>
      <c r="M14" s="2550"/>
      <c r="N14" s="2379"/>
      <c r="O14" s="2551"/>
    </row>
    <row r="15" spans="1:15" ht="27">
      <c r="A15" s="538" t="s">
        <v>12</v>
      </c>
      <c r="B15" s="34" t="s">
        <v>1299</v>
      </c>
      <c r="C15" s="1" t="s">
        <v>152</v>
      </c>
      <c r="D15" s="394">
        <v>218.81899999999999</v>
      </c>
      <c r="E15" s="394">
        <v>210.345</v>
      </c>
      <c r="F15" s="394">
        <v>201.542</v>
      </c>
      <c r="G15" s="394">
        <v>213.53299999999999</v>
      </c>
      <c r="H15" s="394">
        <f>82.934+1.662</f>
        <v>84.596000000000004</v>
      </c>
      <c r="I15" s="394">
        <v>132.05600000000001</v>
      </c>
      <c r="J15" s="2384">
        <v>0</v>
      </c>
      <c r="K15" s="2384">
        <v>0</v>
      </c>
      <c r="L15" s="2384">
        <v>0</v>
      </c>
      <c r="M15" s="2564">
        <v>0</v>
      </c>
      <c r="N15" s="2384">
        <v>0</v>
      </c>
      <c r="O15" s="2565">
        <v>0</v>
      </c>
    </row>
    <row r="16" spans="1:15">
      <c r="A16" s="538" t="s">
        <v>150</v>
      </c>
      <c r="B16" s="1" t="s">
        <v>151</v>
      </c>
      <c r="C16" s="1" t="s">
        <v>11</v>
      </c>
      <c r="D16" s="394">
        <v>33</v>
      </c>
      <c r="E16" s="394">
        <v>30</v>
      </c>
      <c r="F16" s="394">
        <v>31.65</v>
      </c>
      <c r="G16" s="394">
        <v>30</v>
      </c>
      <c r="H16" s="394">
        <v>30</v>
      </c>
      <c r="I16" s="394">
        <f>3961.68/I15</f>
        <v>29.999999999999996</v>
      </c>
      <c r="J16" s="2384">
        <v>0</v>
      </c>
      <c r="K16" s="2384">
        <v>0</v>
      </c>
      <c r="L16" s="2384">
        <v>0</v>
      </c>
      <c r="M16" s="2564">
        <v>0</v>
      </c>
      <c r="N16" s="2384">
        <v>0</v>
      </c>
      <c r="O16" s="2565">
        <v>0</v>
      </c>
    </row>
    <row r="17" spans="1:15" ht="20.25" customHeight="1">
      <c r="A17" s="999" t="s">
        <v>154</v>
      </c>
      <c r="B17" s="108" t="s">
        <v>593</v>
      </c>
      <c r="C17" s="62" t="s">
        <v>11</v>
      </c>
      <c r="D17" s="395">
        <v>7221.027</v>
      </c>
      <c r="E17" s="395">
        <f>E15*E16</f>
        <v>6310.35</v>
      </c>
      <c r="F17" s="395">
        <v>6378.8042999999998</v>
      </c>
      <c r="G17" s="395">
        <f>G15*G16</f>
        <v>6405.99</v>
      </c>
      <c r="H17" s="395">
        <f t="shared" ref="H17:I17" si="0">H15*H16</f>
        <v>2537.88</v>
      </c>
      <c r="I17" s="2383">
        <f t="shared" si="0"/>
        <v>3961.68</v>
      </c>
      <c r="J17" s="2385">
        <v>0</v>
      </c>
      <c r="K17" s="2385">
        <v>0</v>
      </c>
      <c r="L17" s="2385">
        <v>0</v>
      </c>
      <c r="M17" s="2566">
        <v>0</v>
      </c>
      <c r="N17" s="2385">
        <v>0</v>
      </c>
      <c r="O17" s="2567">
        <v>0</v>
      </c>
    </row>
    <row r="18" spans="1:15" ht="15.75" customHeight="1">
      <c r="A18" s="538" t="s">
        <v>18</v>
      </c>
      <c r="B18" s="2380" t="s">
        <v>1300</v>
      </c>
      <c r="C18" s="2379"/>
      <c r="D18" s="2381"/>
      <c r="E18" s="2381"/>
      <c r="F18" s="2381"/>
      <c r="G18" s="2381"/>
      <c r="H18" s="2381"/>
      <c r="I18" s="2381"/>
      <c r="J18" s="2381"/>
      <c r="K18" s="2381"/>
      <c r="L18" s="2381"/>
      <c r="M18" s="2568"/>
      <c r="N18" s="2381"/>
      <c r="O18" s="2569"/>
    </row>
    <row r="19" spans="1:15" ht="14.25" customHeight="1">
      <c r="A19" s="538" t="s">
        <v>20</v>
      </c>
      <c r="B19" s="1" t="s">
        <v>149</v>
      </c>
      <c r="C19" s="1" t="s">
        <v>152</v>
      </c>
      <c r="D19" s="394">
        <v>700</v>
      </c>
      <c r="E19" s="394">
        <v>168</v>
      </c>
      <c r="F19" s="394">
        <v>329.73399999999998</v>
      </c>
      <c r="G19" s="394">
        <v>271.11200000000002</v>
      </c>
      <c r="H19" s="394">
        <v>0</v>
      </c>
      <c r="I19" s="394">
        <v>191.76</v>
      </c>
      <c r="J19" s="394">
        <v>143.36600000000001</v>
      </c>
      <c r="K19" s="394">
        <v>141.80500000000001</v>
      </c>
      <c r="L19" s="394">
        <v>142.77600000000001</v>
      </c>
      <c r="M19" s="2570">
        <f>J19</f>
        <v>143.36600000000001</v>
      </c>
      <c r="N19" s="1344" t="s">
        <v>1492</v>
      </c>
      <c r="O19" s="2571" t="s">
        <v>1492</v>
      </c>
    </row>
    <row r="20" spans="1:15">
      <c r="A20" s="538" t="s">
        <v>155</v>
      </c>
      <c r="B20" s="1" t="s">
        <v>151</v>
      </c>
      <c r="C20" s="1" t="s">
        <v>11</v>
      </c>
      <c r="D20" s="394">
        <v>7.8793199999999999</v>
      </c>
      <c r="E20" s="394">
        <v>6.3550000000000004</v>
      </c>
      <c r="F20" s="394">
        <v>6.6800820000000005</v>
      </c>
      <c r="G20" s="394">
        <v>12.218</v>
      </c>
      <c r="H20" s="394"/>
      <c r="I20" s="394">
        <f>2342.928/I19</f>
        <v>12.2180225281602</v>
      </c>
      <c r="J20" s="394">
        <v>12.767810000000001</v>
      </c>
      <c r="K20" s="394">
        <v>13.316826000000001</v>
      </c>
      <c r="L20" s="394">
        <v>13.889449000000001</v>
      </c>
      <c r="M20" s="2570">
        <f>G20*1.026</f>
        <v>12.535667999999999</v>
      </c>
      <c r="N20" s="1"/>
      <c r="O20" s="998"/>
    </row>
    <row r="21" spans="1:15">
      <c r="A21" s="999" t="s">
        <v>156</v>
      </c>
      <c r="B21" s="108" t="s">
        <v>593</v>
      </c>
      <c r="C21" s="62" t="s">
        <v>11</v>
      </c>
      <c r="D21" s="395">
        <v>5515.5240000000003</v>
      </c>
      <c r="E21" s="395">
        <f>E19*E20</f>
        <v>1067.6400000000001</v>
      </c>
      <c r="F21" s="395">
        <v>2202.6501581880002</v>
      </c>
      <c r="G21" s="395">
        <f>G19*G20</f>
        <v>3312.4464160000002</v>
      </c>
      <c r="H21" s="395">
        <f t="shared" ref="H21:I21" si="1">H19*H20</f>
        <v>0</v>
      </c>
      <c r="I21" s="2383">
        <f t="shared" si="1"/>
        <v>2342.9279999999999</v>
      </c>
      <c r="J21" s="2383">
        <f>J19*J20</f>
        <v>1830.4698484600003</v>
      </c>
      <c r="K21" s="2383">
        <f>K19*K20</f>
        <v>1888.3925109300003</v>
      </c>
      <c r="L21" s="2383">
        <f>L19*L20</f>
        <v>1983.0799704240003</v>
      </c>
      <c r="M21" s="2572">
        <f t="shared" ref="M21" si="2">M19*M20</f>
        <v>1797.1885784880001</v>
      </c>
      <c r="N21" s="2383"/>
      <c r="O21" s="2573"/>
    </row>
    <row r="22" spans="1:15">
      <c r="A22" s="538" t="s">
        <v>30</v>
      </c>
      <c r="B22" s="2380" t="s">
        <v>1301</v>
      </c>
      <c r="C22" s="2379"/>
      <c r="D22" s="2381"/>
      <c r="E22" s="2381"/>
      <c r="F22" s="2381"/>
      <c r="G22" s="2381"/>
      <c r="H22" s="2381"/>
      <c r="I22" s="2381"/>
      <c r="J22" s="2381"/>
      <c r="K22" s="2381"/>
      <c r="L22" s="2381"/>
      <c r="M22" s="2568"/>
      <c r="N22" s="2381"/>
      <c r="O22" s="2569"/>
    </row>
    <row r="23" spans="1:15">
      <c r="A23" s="538" t="s">
        <v>396</v>
      </c>
      <c r="B23" s="1" t="s">
        <v>149</v>
      </c>
      <c r="C23" s="1" t="s">
        <v>152</v>
      </c>
      <c r="D23" s="394">
        <v>2519.9940000000001</v>
      </c>
      <c r="E23" s="394">
        <v>2412.54</v>
      </c>
      <c r="F23" s="394">
        <v>2382.7080000000001</v>
      </c>
      <c r="G23" s="394">
        <v>2271.4560000000001</v>
      </c>
      <c r="H23" s="394">
        <v>1033.2</v>
      </c>
      <c r="I23" s="394">
        <v>2298.9949999999999</v>
      </c>
      <c r="J23" s="394">
        <v>2543.1869999999999</v>
      </c>
      <c r="K23" s="394">
        <v>2515.2069999999999</v>
      </c>
      <c r="L23" s="394">
        <v>2529.3270000000002</v>
      </c>
      <c r="M23" s="2570">
        <f>F23</f>
        <v>2382.7080000000001</v>
      </c>
      <c r="N23" s="1"/>
      <c r="O23" s="998"/>
    </row>
    <row r="24" spans="1:15">
      <c r="A24" s="538" t="s">
        <v>545</v>
      </c>
      <c r="B24" s="1" t="s">
        <v>151</v>
      </c>
      <c r="C24" s="1" t="s">
        <v>11</v>
      </c>
      <c r="D24" s="394">
        <v>16.745760000000001</v>
      </c>
      <c r="E24" s="394">
        <v>16.101700000000001</v>
      </c>
      <c r="F24" s="394">
        <v>16.9872935</v>
      </c>
      <c r="G24" s="394">
        <v>17.754000000000001</v>
      </c>
      <c r="H24" s="394">
        <v>17.75</v>
      </c>
      <c r="I24" s="394">
        <f>40816.909/I23</f>
        <v>17.754240004871694</v>
      </c>
      <c r="J24" s="394">
        <v>18.553100000000001</v>
      </c>
      <c r="K24" s="394">
        <v>19.350968000000002</v>
      </c>
      <c r="L24" s="394">
        <v>20.183059</v>
      </c>
      <c r="M24" s="2570">
        <f>G24*1.026</f>
        <v>18.215604000000003</v>
      </c>
      <c r="N24" s="1"/>
      <c r="O24" s="998"/>
    </row>
    <row r="25" spans="1:15">
      <c r="A25" s="999" t="s">
        <v>546</v>
      </c>
      <c r="B25" s="108" t="s">
        <v>593</v>
      </c>
      <c r="C25" s="62" t="s">
        <v>11</v>
      </c>
      <c r="D25" s="395">
        <v>42199.214725440004</v>
      </c>
      <c r="E25" s="395">
        <f>E23*E24</f>
        <v>38845.995318000001</v>
      </c>
      <c r="F25" s="395">
        <v>40475.760120798004</v>
      </c>
      <c r="G25" s="395">
        <f>G23*G24</f>
        <v>40327.429824000006</v>
      </c>
      <c r="H25" s="395">
        <f t="shared" ref="H25:I25" si="3">H23*H24</f>
        <v>18339.3</v>
      </c>
      <c r="I25" s="2383">
        <f t="shared" si="3"/>
        <v>40816.909</v>
      </c>
      <c r="J25" s="2383">
        <f>J23*J24</f>
        <v>47184.002729699998</v>
      </c>
      <c r="K25" s="2383">
        <f>K23*K24</f>
        <v>48671.690170376001</v>
      </c>
      <c r="L25" s="2383">
        <f>L23*L24</f>
        <v>51049.556071293002</v>
      </c>
      <c r="M25" s="2572">
        <f t="shared" ref="M25:O25" si="4">M23*M24</f>
        <v>43402.465375632011</v>
      </c>
      <c r="N25" s="2383">
        <f t="shared" si="4"/>
        <v>0</v>
      </c>
      <c r="O25" s="2573">
        <f t="shared" si="4"/>
        <v>0</v>
      </c>
    </row>
    <row r="26" spans="1:15">
      <c r="A26" s="999" t="s">
        <v>255</v>
      </c>
      <c r="B26" s="2380" t="s">
        <v>577</v>
      </c>
      <c r="C26" s="2380"/>
      <c r="D26" s="2382"/>
      <c r="E26" s="2382"/>
      <c r="F26" s="2382"/>
      <c r="G26" s="2382"/>
      <c r="H26" s="2382"/>
      <c r="I26" s="2382"/>
      <c r="J26" s="2382"/>
      <c r="K26" s="2382"/>
      <c r="L26" s="2382"/>
      <c r="M26" s="2574"/>
      <c r="N26" s="2382"/>
      <c r="O26" s="2575"/>
    </row>
    <row r="27" spans="1:15">
      <c r="A27" s="538" t="s">
        <v>35</v>
      </c>
      <c r="B27" s="1" t="s">
        <v>1302</v>
      </c>
      <c r="C27" s="1" t="s">
        <v>152</v>
      </c>
      <c r="D27" s="394"/>
      <c r="E27" s="394">
        <v>4.3550000000000004</v>
      </c>
      <c r="F27" s="394">
        <v>3.431</v>
      </c>
      <c r="G27" s="394">
        <v>2.222</v>
      </c>
      <c r="H27" s="394">
        <v>2.86</v>
      </c>
      <c r="I27" s="394">
        <v>4.7</v>
      </c>
      <c r="J27" s="394">
        <v>4.0670000000000002</v>
      </c>
      <c r="K27" s="394">
        <v>4.0220000000000002</v>
      </c>
      <c r="L27" s="394">
        <v>4.0490000000000004</v>
      </c>
      <c r="M27" s="2570">
        <f>F27</f>
        <v>3.431</v>
      </c>
      <c r="N27" s="1"/>
      <c r="O27" s="998"/>
    </row>
    <row r="28" spans="1:15">
      <c r="A28" s="538" t="s">
        <v>547</v>
      </c>
      <c r="B28" s="1" t="s">
        <v>151</v>
      </c>
      <c r="C28" s="1" t="s">
        <v>11</v>
      </c>
      <c r="D28" s="394"/>
      <c r="E28" s="394">
        <v>235</v>
      </c>
      <c r="F28" s="394">
        <v>265.83889999999997</v>
      </c>
      <c r="G28" s="394">
        <v>295</v>
      </c>
      <c r="H28" s="394">
        <v>300.05</v>
      </c>
      <c r="I28" s="394">
        <f>1410.216/I27</f>
        <v>300.04595744680847</v>
      </c>
      <c r="J28" s="394">
        <v>308.27499999999998</v>
      </c>
      <c r="K28" s="394">
        <v>321.53082499999999</v>
      </c>
      <c r="L28" s="394">
        <v>335.35665</v>
      </c>
      <c r="M28" s="2570">
        <f>H28*1.026</f>
        <v>307.85130000000004</v>
      </c>
      <c r="N28" s="1"/>
      <c r="O28" s="998"/>
    </row>
    <row r="29" spans="1:15">
      <c r="A29" s="999" t="s">
        <v>548</v>
      </c>
      <c r="B29" s="108" t="s">
        <v>593</v>
      </c>
      <c r="C29" s="62" t="s">
        <v>11</v>
      </c>
      <c r="D29" s="395"/>
      <c r="E29" s="395">
        <f>E27*E28</f>
        <v>1023.4250000000001</v>
      </c>
      <c r="F29" s="395">
        <v>912.09326589999989</v>
      </c>
      <c r="G29" s="395">
        <f>G27*G28</f>
        <v>655.49</v>
      </c>
      <c r="H29" s="395">
        <f t="shared" ref="H29:I29" si="5">H27*H28</f>
        <v>858.14300000000003</v>
      </c>
      <c r="I29" s="2383">
        <f t="shared" si="5"/>
        <v>1410.2159999999999</v>
      </c>
      <c r="J29" s="2383">
        <f>J27*J28</f>
        <v>1253.7544249999999</v>
      </c>
      <c r="K29" s="2383">
        <f>K27*K28</f>
        <v>1293.1969781499999</v>
      </c>
      <c r="L29" s="2383">
        <f>L27*L28</f>
        <v>1357.8590758500002</v>
      </c>
      <c r="M29" s="2572">
        <f t="shared" ref="M29:O29" si="6">M27*M28</f>
        <v>1056.2378103000001</v>
      </c>
      <c r="N29" s="2383">
        <f t="shared" si="6"/>
        <v>0</v>
      </c>
      <c r="O29" s="2573">
        <f t="shared" si="6"/>
        <v>0</v>
      </c>
    </row>
    <row r="30" spans="1:15">
      <c r="A30" s="999" t="s">
        <v>40</v>
      </c>
      <c r="B30" s="2380" t="s">
        <v>1304</v>
      </c>
      <c r="C30" s="2380"/>
      <c r="D30" s="2382"/>
      <c r="E30" s="2382"/>
      <c r="F30" s="2382"/>
      <c r="G30" s="2382"/>
      <c r="H30" s="2382"/>
      <c r="I30" s="2382"/>
      <c r="J30" s="2382"/>
      <c r="K30" s="2382"/>
      <c r="L30" s="2382"/>
      <c r="M30" s="2574"/>
      <c r="N30" s="2382"/>
      <c r="O30" s="2575"/>
    </row>
    <row r="31" spans="1:15">
      <c r="A31" s="538" t="s">
        <v>398</v>
      </c>
      <c r="B31" s="1" t="s">
        <v>149</v>
      </c>
      <c r="C31" s="1" t="s">
        <v>152</v>
      </c>
      <c r="D31" s="394">
        <v>173.28899999999999</v>
      </c>
      <c r="E31" s="394">
        <v>307.2</v>
      </c>
      <c r="F31" s="394">
        <v>214.63466666666667</v>
      </c>
      <c r="G31" s="394">
        <v>284.76</v>
      </c>
      <c r="H31" s="394">
        <v>160.5</v>
      </c>
      <c r="I31" s="394">
        <v>323.50099999999998</v>
      </c>
      <c r="J31" s="394">
        <v>278.851</v>
      </c>
      <c r="K31" s="394">
        <v>275.82299999999998</v>
      </c>
      <c r="L31" s="394">
        <v>277.70999999999998</v>
      </c>
      <c r="M31" s="2570">
        <f>J31</f>
        <v>278.851</v>
      </c>
      <c r="N31" s="1"/>
      <c r="O31" s="998"/>
    </row>
    <row r="32" spans="1:15">
      <c r="A32" s="538" t="s">
        <v>549</v>
      </c>
      <c r="B32" s="1" t="s">
        <v>151</v>
      </c>
      <c r="C32" s="1" t="s">
        <v>11</v>
      </c>
      <c r="D32" s="394">
        <v>70.400000000000006</v>
      </c>
      <c r="E32" s="394">
        <v>64</v>
      </c>
      <c r="F32" s="394">
        <v>67.52</v>
      </c>
      <c r="G32" s="394">
        <v>82.5</v>
      </c>
      <c r="H32" s="394">
        <v>82.5</v>
      </c>
      <c r="I32" s="394">
        <f>26688.817/I31</f>
        <v>82.499952086701441</v>
      </c>
      <c r="J32" s="394">
        <v>86.212500000000006</v>
      </c>
      <c r="K32" s="394">
        <v>89.919638000000006</v>
      </c>
      <c r="L32" s="394">
        <v>93.786181999999997</v>
      </c>
      <c r="M32" s="2570">
        <f>I32*1.026</f>
        <v>84.644950840955687</v>
      </c>
      <c r="N32" s="1"/>
      <c r="O32" s="998"/>
    </row>
    <row r="33" spans="1:16">
      <c r="A33" s="999" t="s">
        <v>550</v>
      </c>
      <c r="B33" s="108" t="s">
        <v>593</v>
      </c>
      <c r="C33" s="62" t="s">
        <v>11</v>
      </c>
      <c r="D33" s="395">
        <v>12199.545599999999</v>
      </c>
      <c r="E33" s="395">
        <f>E31*E32</f>
        <v>19660.8</v>
      </c>
      <c r="F33" s="395">
        <v>14492.132693333333</v>
      </c>
      <c r="G33" s="395">
        <f>G31*G32</f>
        <v>23492.7</v>
      </c>
      <c r="H33" s="395">
        <f t="shared" ref="H33:I33" si="7">H31*H32</f>
        <v>13241.25</v>
      </c>
      <c r="I33" s="2383">
        <f t="shared" si="7"/>
        <v>26688.817000000003</v>
      </c>
      <c r="J33" s="2383">
        <f>J31*J32</f>
        <v>24040.441837500002</v>
      </c>
      <c r="K33" s="2383">
        <f>K31*K32</f>
        <v>24801.904312073999</v>
      </c>
      <c r="L33" s="2383">
        <f>L31*L32</f>
        <v>26045.360603219997</v>
      </c>
      <c r="M33" s="2572">
        <f t="shared" ref="M33:O33" si="8">M31*M32</f>
        <v>23603.329186951334</v>
      </c>
      <c r="N33" s="2383">
        <f t="shared" si="8"/>
        <v>0</v>
      </c>
      <c r="O33" s="2573">
        <f t="shared" si="8"/>
        <v>0</v>
      </c>
    </row>
    <row r="34" spans="1:16">
      <c r="A34" s="999" t="s">
        <v>41</v>
      </c>
      <c r="B34" s="2380" t="s">
        <v>1303</v>
      </c>
      <c r="C34" s="2380"/>
      <c r="D34" s="2382"/>
      <c r="E34" s="2382"/>
      <c r="F34" s="2382"/>
      <c r="G34" s="2382"/>
      <c r="H34" s="2382"/>
      <c r="I34" s="2382"/>
      <c r="J34" s="2382"/>
      <c r="K34" s="2382"/>
      <c r="L34" s="2382"/>
      <c r="M34" s="2574"/>
      <c r="N34" s="2382"/>
      <c r="O34" s="2575"/>
    </row>
    <row r="35" spans="1:16">
      <c r="A35" s="538" t="s">
        <v>551</v>
      </c>
      <c r="B35" s="1" t="s">
        <v>149</v>
      </c>
      <c r="C35" s="1" t="s">
        <v>152</v>
      </c>
      <c r="D35" s="394">
        <v>4.024</v>
      </c>
      <c r="E35" s="394">
        <v>1.32</v>
      </c>
      <c r="F35" s="394">
        <v>0</v>
      </c>
      <c r="G35" s="394">
        <v>0</v>
      </c>
      <c r="H35" s="394">
        <v>0</v>
      </c>
      <c r="I35" s="394">
        <v>0</v>
      </c>
      <c r="J35" s="394">
        <v>0</v>
      </c>
      <c r="K35" s="394">
        <v>0</v>
      </c>
      <c r="L35" s="394">
        <v>0</v>
      </c>
      <c r="M35" s="2576">
        <v>0</v>
      </c>
      <c r="N35" s="1"/>
      <c r="O35" s="998"/>
    </row>
    <row r="36" spans="1:16">
      <c r="A36" s="538" t="s">
        <v>552</v>
      </c>
      <c r="B36" s="1" t="s">
        <v>151</v>
      </c>
      <c r="C36" s="1" t="s">
        <v>11</v>
      </c>
      <c r="D36" s="394">
        <v>260.31995000000001</v>
      </c>
      <c r="E36" s="394">
        <v>257.18</v>
      </c>
      <c r="F36" s="394"/>
      <c r="G36" s="394">
        <v>0</v>
      </c>
      <c r="H36" s="394">
        <v>0</v>
      </c>
      <c r="I36" s="394">
        <v>0</v>
      </c>
      <c r="J36" s="394">
        <v>0</v>
      </c>
      <c r="K36" s="394">
        <v>0</v>
      </c>
      <c r="L36" s="394">
        <v>0</v>
      </c>
      <c r="M36" s="2576">
        <v>0</v>
      </c>
      <c r="N36" s="1"/>
      <c r="O36" s="998"/>
    </row>
    <row r="37" spans="1:16">
      <c r="A37" s="999" t="s">
        <v>553</v>
      </c>
      <c r="B37" s="108" t="s">
        <v>153</v>
      </c>
      <c r="C37" s="62" t="s">
        <v>11</v>
      </c>
      <c r="D37" s="395">
        <v>1047.5274787999999</v>
      </c>
      <c r="E37" s="395">
        <f>E35*E36</f>
        <v>339.47760000000005</v>
      </c>
      <c r="F37" s="395">
        <f t="shared" ref="F37:H37" si="9">F35*F36</f>
        <v>0</v>
      </c>
      <c r="G37" s="395">
        <f t="shared" si="9"/>
        <v>0</v>
      </c>
      <c r="H37" s="395">
        <f t="shared" si="9"/>
        <v>0</v>
      </c>
      <c r="I37" s="395">
        <f t="shared" ref="I37:M37" si="10">I35*I36</f>
        <v>0</v>
      </c>
      <c r="J37" s="395">
        <f t="shared" si="10"/>
        <v>0</v>
      </c>
      <c r="K37" s="395">
        <f t="shared" si="10"/>
        <v>0</v>
      </c>
      <c r="L37" s="395">
        <f t="shared" si="10"/>
        <v>0</v>
      </c>
      <c r="M37" s="2577">
        <f t="shared" si="10"/>
        <v>0</v>
      </c>
      <c r="N37" s="1"/>
      <c r="O37" s="998"/>
    </row>
    <row r="38" spans="1:16">
      <c r="A38" s="999" t="s">
        <v>42</v>
      </c>
      <c r="B38" s="2380" t="s">
        <v>556</v>
      </c>
      <c r="C38" s="2380"/>
      <c r="D38" s="2382"/>
      <c r="E38" s="2382"/>
      <c r="F38" s="2382"/>
      <c r="G38" s="2382"/>
      <c r="H38" s="2382"/>
      <c r="I38" s="2382"/>
      <c r="J38" s="2382"/>
      <c r="K38" s="2382"/>
      <c r="L38" s="2382"/>
      <c r="M38" s="2574"/>
      <c r="N38" s="2382"/>
      <c r="O38" s="2575"/>
    </row>
    <row r="39" spans="1:16">
      <c r="A39" s="538" t="s">
        <v>44</v>
      </c>
      <c r="B39" s="1" t="s">
        <v>149</v>
      </c>
      <c r="C39" s="1" t="s">
        <v>152</v>
      </c>
      <c r="D39" s="394">
        <v>0.1</v>
      </c>
      <c r="E39" s="394">
        <v>0.33</v>
      </c>
      <c r="F39" s="394">
        <v>0.38733333333333331</v>
      </c>
      <c r="G39" s="394">
        <v>0.41199999999999998</v>
      </c>
      <c r="H39" s="394">
        <v>0.218</v>
      </c>
      <c r="I39" s="394">
        <v>0.46800000000000003</v>
      </c>
      <c r="J39" s="394">
        <v>0.1</v>
      </c>
      <c r="K39" s="394">
        <v>0.1</v>
      </c>
      <c r="L39" s="394">
        <v>0.1</v>
      </c>
      <c r="M39" s="2570">
        <f>J39</f>
        <v>0.1</v>
      </c>
      <c r="N39" s="1"/>
      <c r="O39" s="998"/>
    </row>
    <row r="40" spans="1:16">
      <c r="A40" s="538" t="s">
        <v>554</v>
      </c>
      <c r="B40" s="1" t="s">
        <v>151</v>
      </c>
      <c r="C40" s="1" t="s">
        <v>11</v>
      </c>
      <c r="D40" s="394">
        <v>298.30508400000002</v>
      </c>
      <c r="E40" s="394">
        <v>271.19</v>
      </c>
      <c r="F40" s="394">
        <v>286.10544999999996</v>
      </c>
      <c r="G40" s="394">
        <v>550.84749999999997</v>
      </c>
      <c r="H40" s="394">
        <v>550.85</v>
      </c>
      <c r="I40" s="394">
        <f>257.797/I39</f>
        <v>550.84829059829065</v>
      </c>
      <c r="J40" s="394">
        <v>575.63499999999999</v>
      </c>
      <c r="K40" s="394">
        <v>600.38699999999994</v>
      </c>
      <c r="L40" s="394">
        <v>626.20399999999995</v>
      </c>
      <c r="M40" s="2570">
        <f>I40*1.026</f>
        <v>565.17034615384625</v>
      </c>
      <c r="N40" s="1"/>
      <c r="O40" s="998"/>
    </row>
    <row r="41" spans="1:16">
      <c r="A41" s="999" t="s">
        <v>555</v>
      </c>
      <c r="B41" s="108" t="s">
        <v>153</v>
      </c>
      <c r="C41" s="62" t="s">
        <v>11</v>
      </c>
      <c r="D41" s="395">
        <v>29.830508400000003</v>
      </c>
      <c r="E41" s="395">
        <v>89.492699999999999</v>
      </c>
      <c r="F41" s="395">
        <v>110.81817763333331</v>
      </c>
      <c r="G41" s="395">
        <f>G39*G40</f>
        <v>226.94916999999998</v>
      </c>
      <c r="H41" s="395">
        <f t="shared" ref="H41:I41" si="11">H39*H40</f>
        <v>120.0853</v>
      </c>
      <c r="I41" s="2383">
        <f t="shared" si="11"/>
        <v>257.79700000000003</v>
      </c>
      <c r="J41" s="2383">
        <f>J39*J40</f>
        <v>57.563500000000005</v>
      </c>
      <c r="K41" s="2383">
        <f>K39*K40</f>
        <v>60.038699999999999</v>
      </c>
      <c r="L41" s="2383">
        <f>L39*L40</f>
        <v>62.620399999999997</v>
      </c>
      <c r="M41" s="2572">
        <f t="shared" ref="M41:O41" si="12">M39*M40</f>
        <v>56.517034615384631</v>
      </c>
      <c r="N41" s="2383">
        <f t="shared" si="12"/>
        <v>0</v>
      </c>
      <c r="O41" s="2573">
        <f t="shared" si="12"/>
        <v>0</v>
      </c>
    </row>
    <row r="42" spans="1:16">
      <c r="A42" s="999" t="s">
        <v>472</v>
      </c>
      <c r="B42" s="2380" t="s">
        <v>557</v>
      </c>
      <c r="C42" s="2380"/>
      <c r="D42" s="2382"/>
      <c r="E42" s="2382"/>
      <c r="F42" s="2382"/>
      <c r="G42" s="2382"/>
      <c r="H42" s="2382"/>
      <c r="I42" s="2382"/>
      <c r="J42" s="2382"/>
      <c r="K42" s="2382"/>
      <c r="L42" s="2382"/>
      <c r="M42" s="2574"/>
      <c r="N42" s="2382"/>
      <c r="O42" s="2575"/>
    </row>
    <row r="43" spans="1:16">
      <c r="A43" s="538" t="s">
        <v>558</v>
      </c>
      <c r="B43" s="1" t="s">
        <v>149</v>
      </c>
      <c r="C43" s="1" t="s">
        <v>152</v>
      </c>
      <c r="D43" s="394">
        <v>8</v>
      </c>
      <c r="E43" s="394">
        <v>5.8</v>
      </c>
      <c r="F43" s="394">
        <v>7.3250000000000002</v>
      </c>
      <c r="G43" s="394">
        <v>8</v>
      </c>
      <c r="H43" s="394">
        <v>4.4249999999999998</v>
      </c>
      <c r="I43" s="394">
        <v>4.4249999999999998</v>
      </c>
      <c r="J43" s="394">
        <v>8</v>
      </c>
      <c r="K43" s="394">
        <v>8</v>
      </c>
      <c r="L43" s="394">
        <v>8</v>
      </c>
      <c r="M43" s="2570">
        <v>5.9</v>
      </c>
      <c r="N43" s="1"/>
      <c r="O43" s="998"/>
    </row>
    <row r="44" spans="1:16">
      <c r="A44" s="538" t="s">
        <v>559</v>
      </c>
      <c r="B44" s="1" t="s">
        <v>151</v>
      </c>
      <c r="C44" s="1" t="s">
        <v>11</v>
      </c>
      <c r="D44" s="394">
        <v>128.41102119999999</v>
      </c>
      <c r="E44" s="394">
        <v>122.88</v>
      </c>
      <c r="F44" s="394">
        <v>129.63839999999999</v>
      </c>
      <c r="G44" s="394">
        <v>223.256</v>
      </c>
      <c r="H44" s="394">
        <v>223.26</v>
      </c>
      <c r="I44" s="394">
        <f>987.908/I43</f>
        <v>223.25604519774012</v>
      </c>
      <c r="J44" s="394">
        <v>233.30199999999999</v>
      </c>
      <c r="K44" s="394">
        <v>243.334</v>
      </c>
      <c r="L44" s="394">
        <v>253.797</v>
      </c>
      <c r="M44" s="2570">
        <f>I44*1.026</f>
        <v>229.06070237288137</v>
      </c>
      <c r="N44" s="1"/>
      <c r="O44" s="998"/>
    </row>
    <row r="45" spans="1:16">
      <c r="A45" s="999" t="s">
        <v>560</v>
      </c>
      <c r="B45" s="108" t="s">
        <v>153</v>
      </c>
      <c r="C45" s="62" t="s">
        <v>11</v>
      </c>
      <c r="D45" s="395">
        <v>1027.2881695999999</v>
      </c>
      <c r="E45" s="395">
        <f>E43*E44</f>
        <v>712.70399999999995</v>
      </c>
      <c r="F45" s="395">
        <v>949.60127999999997</v>
      </c>
      <c r="G45" s="395">
        <f>G43*G44</f>
        <v>1786.048</v>
      </c>
      <c r="H45" s="395">
        <f t="shared" ref="H45:I45" si="13">H43*H44</f>
        <v>987.92549999999994</v>
      </c>
      <c r="I45" s="2383">
        <f t="shared" si="13"/>
        <v>987.90800000000002</v>
      </c>
      <c r="J45" s="2383">
        <f>J43*J44</f>
        <v>1866.4159999999999</v>
      </c>
      <c r="K45" s="2383">
        <f>K43*K44</f>
        <v>1946.672</v>
      </c>
      <c r="L45" s="2383">
        <f>L43*L44</f>
        <v>2030.376</v>
      </c>
      <c r="M45" s="2572">
        <f t="shared" ref="M45:O45" si="14">M43*M44</f>
        <v>1351.4581440000002</v>
      </c>
      <c r="N45" s="2383">
        <f t="shared" si="14"/>
        <v>0</v>
      </c>
      <c r="O45" s="2573">
        <f t="shared" si="14"/>
        <v>0</v>
      </c>
    </row>
    <row r="46" spans="1:16">
      <c r="A46" s="999" t="s">
        <v>561</v>
      </c>
      <c r="B46" s="2380" t="s">
        <v>565</v>
      </c>
      <c r="C46" s="2380"/>
      <c r="D46" s="2382"/>
      <c r="E46" s="2382"/>
      <c r="F46" s="2382"/>
      <c r="G46" s="2382"/>
      <c r="H46" s="2382"/>
      <c r="I46" s="2382"/>
      <c r="J46" s="2382"/>
      <c r="K46" s="2382"/>
      <c r="L46" s="2382"/>
      <c r="M46" s="2574"/>
      <c r="N46" s="2382"/>
      <c r="O46" s="2575"/>
    </row>
    <row r="47" spans="1:16">
      <c r="A47" s="538" t="s">
        <v>562</v>
      </c>
      <c r="B47" s="1" t="s">
        <v>149</v>
      </c>
      <c r="C47" s="1" t="s">
        <v>152</v>
      </c>
      <c r="D47" s="394">
        <v>627.03</v>
      </c>
      <c r="E47" s="394">
        <v>446.36700000000002</v>
      </c>
      <c r="F47" s="394">
        <v>551.04133333333323</v>
      </c>
      <c r="G47" s="394">
        <v>585.23</v>
      </c>
      <c r="H47" s="394">
        <v>204.548</v>
      </c>
      <c r="I47" s="394">
        <v>1489.0530000000001</v>
      </c>
      <c r="J47" s="394">
        <v>3958.884</v>
      </c>
      <c r="K47" s="394">
        <v>3918.1509999999998</v>
      </c>
      <c r="L47" s="394">
        <v>3945.1619999999998</v>
      </c>
      <c r="M47" s="2570">
        <f>I47</f>
        <v>1489.0530000000001</v>
      </c>
      <c r="N47" s="1"/>
      <c r="O47" s="998"/>
      <c r="P47" t="s">
        <v>1769</v>
      </c>
    </row>
    <row r="48" spans="1:16">
      <c r="A48" s="538" t="s">
        <v>563</v>
      </c>
      <c r="B48" s="1" t="s">
        <v>151</v>
      </c>
      <c r="C48" s="1" t="s">
        <v>11</v>
      </c>
      <c r="D48" s="394">
        <v>17.472000000000001</v>
      </c>
      <c r="E48" s="394">
        <v>16.8</v>
      </c>
      <c r="F48" s="394">
        <v>17.724</v>
      </c>
      <c r="G48" s="394">
        <v>16.8</v>
      </c>
      <c r="H48" s="394">
        <v>16.8</v>
      </c>
      <c r="I48" s="394">
        <f>25016.091/I47</f>
        <v>16.800000402940661</v>
      </c>
      <c r="J48" s="394">
        <f>69502.169/J47</f>
        <v>17.556000377884271</v>
      </c>
      <c r="K48" s="394">
        <v>18.310908000000001</v>
      </c>
      <c r="L48" s="394">
        <v>19.098277</v>
      </c>
      <c r="M48" s="2570">
        <f>I48*1.026</f>
        <v>17.236800413417118</v>
      </c>
      <c r="N48" s="1"/>
      <c r="O48" s="998"/>
    </row>
    <row r="49" spans="1:15">
      <c r="A49" s="999" t="s">
        <v>564</v>
      </c>
      <c r="B49" s="108" t="s">
        <v>153</v>
      </c>
      <c r="C49" s="62" t="s">
        <v>11</v>
      </c>
      <c r="D49" s="395">
        <v>10955.46816</v>
      </c>
      <c r="E49" s="395">
        <f>E47*E48</f>
        <v>7498.9656000000004</v>
      </c>
      <c r="F49" s="395">
        <v>9766.6565919999975</v>
      </c>
      <c r="G49" s="395">
        <f>G47*G48</f>
        <v>9831.8640000000014</v>
      </c>
      <c r="H49" s="395">
        <f t="shared" ref="H49:I49" si="15">H47*H48</f>
        <v>3436.4064000000003</v>
      </c>
      <c r="I49" s="2383">
        <f t="shared" si="15"/>
        <v>25016.091</v>
      </c>
      <c r="J49" s="2383">
        <f>J47*J48</f>
        <v>69502.168999999994</v>
      </c>
      <c r="K49" s="2383">
        <f>K47*K48</f>
        <v>71744.902491108005</v>
      </c>
      <c r="L49" s="2383">
        <f>L47*L48</f>
        <v>75345.796685873996</v>
      </c>
      <c r="M49" s="2572">
        <f t="shared" ref="M49:O49" si="16">M47*M48</f>
        <v>25666.509366000002</v>
      </c>
      <c r="N49" s="2383">
        <f t="shared" si="16"/>
        <v>0</v>
      </c>
      <c r="O49" s="2573">
        <f t="shared" si="16"/>
        <v>0</v>
      </c>
    </row>
    <row r="50" spans="1:15">
      <c r="A50" s="999" t="s">
        <v>18</v>
      </c>
      <c r="B50" s="2380" t="s">
        <v>566</v>
      </c>
      <c r="C50" s="2380"/>
      <c r="D50" s="2382"/>
      <c r="E50" s="2382"/>
      <c r="F50" s="2382"/>
      <c r="G50" s="2382"/>
      <c r="H50" s="2382"/>
      <c r="I50" s="2382"/>
      <c r="J50" s="2382"/>
      <c r="K50" s="2382"/>
      <c r="L50" s="2382"/>
      <c r="M50" s="2574"/>
      <c r="N50" s="2382"/>
      <c r="O50" s="2575"/>
    </row>
    <row r="51" spans="1:15">
      <c r="A51" s="538" t="s">
        <v>20</v>
      </c>
      <c r="B51" s="1" t="s">
        <v>149</v>
      </c>
      <c r="C51" s="1" t="s">
        <v>152</v>
      </c>
      <c r="D51" s="394">
        <v>0</v>
      </c>
      <c r="E51" s="394"/>
      <c r="F51" s="394">
        <v>0</v>
      </c>
      <c r="G51" s="394">
        <v>147.078</v>
      </c>
      <c r="H51" s="394">
        <v>50.83</v>
      </c>
      <c r="I51" s="394">
        <v>147.078</v>
      </c>
      <c r="J51" s="394">
        <v>254.53</v>
      </c>
      <c r="K51" s="394">
        <v>251.80799999999999</v>
      </c>
      <c r="L51" s="394">
        <v>253.536</v>
      </c>
      <c r="M51" s="2570">
        <f>I51</f>
        <v>147.078</v>
      </c>
      <c r="N51" s="1"/>
      <c r="O51" s="998"/>
    </row>
    <row r="52" spans="1:15">
      <c r="A52" s="538" t="s">
        <v>155</v>
      </c>
      <c r="B52" s="1" t="s">
        <v>151</v>
      </c>
      <c r="C52" s="1" t="s">
        <v>11</v>
      </c>
      <c r="D52" s="394"/>
      <c r="E52" s="394"/>
      <c r="F52" s="394"/>
      <c r="G52" s="394">
        <v>11.5</v>
      </c>
      <c r="H52" s="394">
        <v>11.5</v>
      </c>
      <c r="I52" s="394">
        <f>1691.397/I51</f>
        <v>11.5</v>
      </c>
      <c r="J52" s="394">
        <v>12.0175</v>
      </c>
      <c r="K52" s="394">
        <v>12.534253</v>
      </c>
      <c r="L52" s="394">
        <v>13.073225000000001</v>
      </c>
      <c r="M52" s="2570">
        <f>I52*1.026</f>
        <v>11.798999999999999</v>
      </c>
      <c r="N52" s="1"/>
      <c r="O52" s="998"/>
    </row>
    <row r="53" spans="1:15">
      <c r="A53" s="999" t="s">
        <v>156</v>
      </c>
      <c r="B53" s="108" t="s">
        <v>593</v>
      </c>
      <c r="C53" s="62" t="s">
        <v>11</v>
      </c>
      <c r="D53" s="395">
        <v>0</v>
      </c>
      <c r="E53" s="395"/>
      <c r="F53" s="395">
        <v>0</v>
      </c>
      <c r="G53" s="395">
        <f>G51*G52</f>
        <v>1691.3969999999999</v>
      </c>
      <c r="H53" s="395">
        <f t="shared" ref="H53" si="17">H51*H52</f>
        <v>584.54499999999996</v>
      </c>
      <c r="I53" s="2383">
        <f>I51*I52</f>
        <v>1691.3969999999999</v>
      </c>
      <c r="J53" s="2383">
        <f>J51*J52</f>
        <v>3058.8142750000002</v>
      </c>
      <c r="K53" s="2383">
        <f>K51*K52</f>
        <v>3156.2251794239996</v>
      </c>
      <c r="L53" s="2383">
        <f>L51*L52</f>
        <v>3314.5331736000003</v>
      </c>
      <c r="M53" s="2572">
        <f t="shared" ref="M53:O53" si="18">M51*M52</f>
        <v>1735.3733219999999</v>
      </c>
      <c r="N53" s="2383">
        <f t="shared" si="18"/>
        <v>0</v>
      </c>
      <c r="O53" s="2573">
        <f t="shared" si="18"/>
        <v>0</v>
      </c>
    </row>
    <row r="54" spans="1:15">
      <c r="A54" s="999" t="s">
        <v>567</v>
      </c>
      <c r="B54" s="2380" t="s">
        <v>575</v>
      </c>
      <c r="C54" s="2380"/>
      <c r="D54" s="2382"/>
      <c r="E54" s="2382"/>
      <c r="F54" s="2379"/>
      <c r="G54" s="2382"/>
      <c r="H54" s="2382"/>
      <c r="I54" s="2382"/>
      <c r="J54" s="2382"/>
      <c r="K54" s="2382"/>
      <c r="L54" s="2382"/>
      <c r="M54" s="2574"/>
      <c r="N54" s="2382"/>
      <c r="O54" s="2575"/>
    </row>
    <row r="55" spans="1:15">
      <c r="A55" s="538" t="s">
        <v>568</v>
      </c>
      <c r="B55" s="1" t="s">
        <v>149</v>
      </c>
      <c r="C55" s="1" t="s">
        <v>152</v>
      </c>
      <c r="D55" s="394">
        <v>0</v>
      </c>
      <c r="E55" s="394"/>
      <c r="F55" s="1"/>
      <c r="G55" s="395">
        <v>0.124</v>
      </c>
      <c r="H55" s="395">
        <v>0</v>
      </c>
      <c r="I55" s="395">
        <v>0.124</v>
      </c>
      <c r="J55" s="394">
        <v>0.124</v>
      </c>
      <c r="K55" s="394">
        <v>0.124</v>
      </c>
      <c r="L55" s="394">
        <v>0.124</v>
      </c>
      <c r="M55" s="2570">
        <f>J55</f>
        <v>0.124</v>
      </c>
      <c r="N55" s="1"/>
      <c r="O55" s="998"/>
    </row>
    <row r="56" spans="1:15">
      <c r="A56" s="538" t="s">
        <v>569</v>
      </c>
      <c r="B56" s="1" t="s">
        <v>151</v>
      </c>
      <c r="C56" s="1" t="s">
        <v>11</v>
      </c>
      <c r="D56" s="394">
        <v>86.9</v>
      </c>
      <c r="E56" s="394"/>
      <c r="F56" s="1"/>
      <c r="G56" s="394">
        <v>89</v>
      </c>
      <c r="H56" s="394">
        <v>0</v>
      </c>
      <c r="I56" s="394">
        <f>11.036/I55</f>
        <v>89</v>
      </c>
      <c r="J56" s="395">
        <v>93.004999999999995</v>
      </c>
      <c r="K56" s="395">
        <v>97.004000000000005</v>
      </c>
      <c r="L56" s="395">
        <v>101.175</v>
      </c>
      <c r="M56" s="2577">
        <f>74.17*1.026</f>
        <v>76.098420000000004</v>
      </c>
      <c r="N56" s="1"/>
      <c r="O56" s="998"/>
    </row>
    <row r="57" spans="1:15" ht="15.75" thickBot="1">
      <c r="A57" s="999" t="s">
        <v>570</v>
      </c>
      <c r="B57" s="108" t="s">
        <v>153</v>
      </c>
      <c r="C57" s="62" t="s">
        <v>11</v>
      </c>
      <c r="D57" s="395">
        <v>0</v>
      </c>
      <c r="E57" s="395"/>
      <c r="F57" s="1"/>
      <c r="G57" s="394">
        <f>G55*G56</f>
        <v>11.036</v>
      </c>
      <c r="H57" s="395">
        <f>H55*H56</f>
        <v>0</v>
      </c>
      <c r="I57" s="2383">
        <f>I55*I56</f>
        <v>11.036</v>
      </c>
      <c r="J57" s="2383">
        <f t="shared" ref="J57:O57" si="19">J55*J56</f>
        <v>11.53262</v>
      </c>
      <c r="K57" s="2383">
        <f t="shared" si="19"/>
        <v>12.028496000000001</v>
      </c>
      <c r="L57" s="2383">
        <f t="shared" si="19"/>
        <v>12.5457</v>
      </c>
      <c r="M57" s="2572">
        <f>M55*M56</f>
        <v>9.4362040800000013</v>
      </c>
      <c r="N57" s="2383">
        <f t="shared" si="19"/>
        <v>0</v>
      </c>
      <c r="O57" s="2573">
        <f t="shared" si="19"/>
        <v>0</v>
      </c>
    </row>
    <row r="58" spans="1:15" hidden="1">
      <c r="A58" s="999" t="s">
        <v>571</v>
      </c>
      <c r="B58" s="108" t="s">
        <v>576</v>
      </c>
      <c r="C58" s="62"/>
      <c r="D58" s="395"/>
      <c r="E58" s="395"/>
      <c r="F58" s="395"/>
      <c r="G58" s="395"/>
      <c r="H58" s="395"/>
      <c r="I58" s="395"/>
      <c r="J58" s="395">
        <f>J56*J57</f>
        <v>1072.5913231</v>
      </c>
      <c r="K58" s="395">
        <f>K56*K57</f>
        <v>1166.8122259840002</v>
      </c>
      <c r="L58" s="395">
        <f>L56*L57</f>
        <v>1269.3111974999999</v>
      </c>
      <c r="M58" s="1036"/>
      <c r="N58" s="1"/>
      <c r="O58" s="998"/>
    </row>
    <row r="59" spans="1:15" hidden="1">
      <c r="A59" s="538" t="s">
        <v>572</v>
      </c>
      <c r="B59" s="1" t="s">
        <v>149</v>
      </c>
      <c r="C59" s="1" t="s">
        <v>152</v>
      </c>
      <c r="D59" s="394"/>
      <c r="E59" s="394"/>
      <c r="F59" s="394"/>
      <c r="G59" s="394"/>
      <c r="H59" s="394"/>
      <c r="I59" s="394"/>
      <c r="J59" s="394"/>
      <c r="K59" s="394"/>
      <c r="L59" s="394"/>
      <c r="M59" s="1036"/>
      <c r="N59" s="1"/>
      <c r="O59" s="998"/>
    </row>
    <row r="60" spans="1:15" hidden="1">
      <c r="A60" s="538" t="s">
        <v>573</v>
      </c>
      <c r="B60" s="1" t="s">
        <v>151</v>
      </c>
      <c r="C60" s="1" t="s">
        <v>11</v>
      </c>
      <c r="D60" s="394"/>
      <c r="E60" s="394"/>
      <c r="F60" s="394"/>
      <c r="G60" s="394"/>
      <c r="H60" s="394"/>
      <c r="I60" s="394"/>
      <c r="J60" s="394"/>
      <c r="K60" s="394"/>
      <c r="L60" s="394"/>
      <c r="M60" s="1036"/>
      <c r="N60" s="1"/>
      <c r="O60" s="998"/>
    </row>
    <row r="61" spans="1:15" hidden="1">
      <c r="A61" s="999" t="s">
        <v>574</v>
      </c>
      <c r="B61" s="108" t="s">
        <v>593</v>
      </c>
      <c r="C61" s="62" t="s">
        <v>11</v>
      </c>
      <c r="D61" s="395"/>
      <c r="E61" s="395"/>
      <c r="F61" s="395"/>
      <c r="G61" s="395"/>
      <c r="H61" s="395"/>
      <c r="I61" s="395"/>
      <c r="J61" s="395"/>
      <c r="K61" s="395"/>
      <c r="L61" s="395"/>
      <c r="M61" s="1036"/>
      <c r="N61" s="1"/>
      <c r="O61" s="998"/>
    </row>
    <row r="62" spans="1:15" hidden="1">
      <c r="A62" s="999" t="s">
        <v>582</v>
      </c>
      <c r="B62" s="108" t="s">
        <v>556</v>
      </c>
      <c r="C62" s="62"/>
      <c r="D62" s="395"/>
      <c r="E62" s="395"/>
      <c r="F62" s="395"/>
      <c r="G62" s="395"/>
      <c r="H62" s="395"/>
      <c r="I62" s="395"/>
      <c r="J62" s="395"/>
      <c r="K62" s="395"/>
      <c r="L62" s="395"/>
      <c r="M62" s="1036"/>
      <c r="N62" s="1"/>
      <c r="O62" s="998"/>
    </row>
    <row r="63" spans="1:15" hidden="1">
      <c r="A63" s="538" t="s">
        <v>583</v>
      </c>
      <c r="B63" s="1" t="s">
        <v>149</v>
      </c>
      <c r="C63" s="1" t="s">
        <v>152</v>
      </c>
      <c r="D63" s="394"/>
      <c r="E63" s="394"/>
      <c r="F63" s="394"/>
      <c r="G63" s="394"/>
      <c r="H63" s="394"/>
      <c r="I63" s="394"/>
      <c r="J63" s="394"/>
      <c r="K63" s="394"/>
      <c r="L63" s="394"/>
      <c r="M63" s="1036"/>
      <c r="N63" s="1"/>
      <c r="O63" s="998"/>
    </row>
    <row r="64" spans="1:15" hidden="1">
      <c r="A64" s="538" t="s">
        <v>584</v>
      </c>
      <c r="B64" s="1" t="s">
        <v>151</v>
      </c>
      <c r="C64" s="1" t="s">
        <v>11</v>
      </c>
      <c r="D64" s="394"/>
      <c r="E64" s="394"/>
      <c r="F64" s="394"/>
      <c r="G64" s="394"/>
      <c r="H64" s="394"/>
      <c r="I64" s="394"/>
      <c r="J64" s="394"/>
      <c r="K64" s="394"/>
      <c r="L64" s="394"/>
      <c r="M64" s="1036"/>
      <c r="N64" s="1"/>
      <c r="O64" s="998"/>
    </row>
    <row r="65" spans="1:15" ht="15.75" hidden="1" thickBot="1">
      <c r="A65" s="1097" t="s">
        <v>585</v>
      </c>
      <c r="B65" s="121" t="s">
        <v>593</v>
      </c>
      <c r="C65" s="232" t="s">
        <v>11</v>
      </c>
      <c r="D65" s="405"/>
      <c r="E65" s="405"/>
      <c r="F65" s="405"/>
      <c r="G65" s="405"/>
      <c r="H65" s="405"/>
      <c r="I65" s="405"/>
      <c r="J65" s="405"/>
      <c r="K65" s="405"/>
      <c r="L65" s="405"/>
      <c r="M65" s="1036"/>
      <c r="N65" s="1"/>
      <c r="O65" s="998"/>
    </row>
    <row r="66" spans="1:15" ht="15.75" thickBot="1">
      <c r="A66" s="37"/>
      <c r="B66" s="38" t="s">
        <v>157</v>
      </c>
      <c r="C66" s="38" t="s">
        <v>11</v>
      </c>
      <c r="D66" s="1558">
        <v>79958.815642240006</v>
      </c>
      <c r="E66" s="1558">
        <f>E17+E21+E25+E29+E33+E37+E41+E45+E49+E53+E57+E61+E65</f>
        <v>75548.850217999992</v>
      </c>
      <c r="F66" s="1558">
        <v>75317.127132852678</v>
      </c>
      <c r="G66" s="1558">
        <f>G21+G17+G25+G29+G33+G37+G41+G45+G49+G53+G58+G61+G65</f>
        <v>87730.314410000006</v>
      </c>
      <c r="H66" s="1558">
        <f t="shared" ref="H66" si="20">H21+H17+H25+H29+H33+H37+H41+H45+H49+H53+H58+H61+H65</f>
        <v>40105.535199999998</v>
      </c>
      <c r="I66" s="1558">
        <f>I21+I17+I25+I29+I33+I37+I41+I45+I49+I53+I57+I61+I65</f>
        <v>103184.77899999999</v>
      </c>
      <c r="J66" s="1558">
        <f>J21+J17+J25+J29+J33+J37+J41+J45+J49+J53+J58+J61+J65</f>
        <v>149866.22293876001</v>
      </c>
      <c r="K66" s="1558">
        <f>K21+K17+K25+K29+K33+K37+K41+K45+K49+K53+K58+K61+K65</f>
        <v>154729.834568046</v>
      </c>
      <c r="L66" s="1558">
        <f>L21+L17+L25+L29+L33+L37+L41+L45+L49+L53+L58+L61+L65+1</f>
        <v>162459.493177761</v>
      </c>
      <c r="M66" s="2578">
        <f>M21+M17+M25+M29+M33+M37+M41+M45+M49+M53+M57+M61+M65</f>
        <v>98678.515022066742</v>
      </c>
      <c r="N66" s="1558"/>
      <c r="O66" s="2579"/>
    </row>
    <row r="67" spans="1:15" ht="44.25" customHeight="1">
      <c r="A67" s="1000" t="s">
        <v>148</v>
      </c>
      <c r="B67" s="42" t="s">
        <v>158</v>
      </c>
      <c r="C67" s="41"/>
      <c r="D67" s="396"/>
      <c r="E67" s="396"/>
      <c r="F67" s="396"/>
      <c r="G67" s="1559" t="s">
        <v>1202</v>
      </c>
      <c r="H67" s="1559"/>
      <c r="I67" s="1559"/>
      <c r="J67" s="396"/>
      <c r="K67" s="396"/>
      <c r="L67" s="396"/>
      <c r="M67" s="2580"/>
      <c r="N67" s="396"/>
      <c r="O67" s="2581"/>
    </row>
    <row r="68" spans="1:15">
      <c r="A68" s="1001" t="s">
        <v>159</v>
      </c>
      <c r="B68" s="165" t="s">
        <v>578</v>
      </c>
      <c r="C68" s="62"/>
      <c r="D68" s="395"/>
      <c r="E68" s="395"/>
      <c r="F68" s="395"/>
      <c r="G68" s="395"/>
      <c r="H68" s="395"/>
      <c r="I68" s="395"/>
      <c r="J68" s="395"/>
      <c r="K68" s="395"/>
      <c r="L68" s="395"/>
      <c r="M68" s="1036"/>
      <c r="N68" s="1"/>
      <c r="O68" s="998"/>
    </row>
    <row r="69" spans="1:15">
      <c r="A69" s="538"/>
      <c r="B69" s="1" t="s">
        <v>149</v>
      </c>
      <c r="C69" s="1" t="s">
        <v>579</v>
      </c>
      <c r="D69" s="394">
        <v>76980</v>
      </c>
      <c r="E69" s="394">
        <f>268151.491*0.9*0.6</f>
        <v>144801.80513999998</v>
      </c>
      <c r="F69" s="394">
        <v>129364.26668999999</v>
      </c>
      <c r="G69" s="394">
        <f>E69</f>
        <v>144801.80513999998</v>
      </c>
      <c r="H69" s="394">
        <f>158449.76*0.96*0.59</f>
        <v>89745.944063999996</v>
      </c>
      <c r="I69" s="394">
        <f>H69*2</f>
        <v>179491.88812799999</v>
      </c>
      <c r="J69" s="394">
        <f>G69</f>
        <v>144801.80513999998</v>
      </c>
      <c r="K69" s="394">
        <f>J69</f>
        <v>144801.80513999998</v>
      </c>
      <c r="L69" s="394">
        <f>K69</f>
        <v>144801.80513999998</v>
      </c>
      <c r="M69" s="2576">
        <v>135296</v>
      </c>
      <c r="N69" s="1"/>
      <c r="O69" s="998"/>
    </row>
    <row r="70" spans="1:15">
      <c r="A70" s="538"/>
      <c r="B70" s="1" t="s">
        <v>160</v>
      </c>
      <c r="C70" s="1" t="s">
        <v>291</v>
      </c>
      <c r="D70" s="92">
        <v>28.82</v>
      </c>
      <c r="E70" s="394">
        <f>7472643.5/268151.49</f>
        <v>27.867245861658276</v>
      </c>
      <c r="F70" s="394">
        <v>28.949200000000001</v>
      </c>
      <c r="G70" s="394">
        <v>28.95</v>
      </c>
      <c r="H70" s="394">
        <v>28.92</v>
      </c>
      <c r="I70" s="394">
        <f>H70*1.01</f>
        <v>29.209200000000003</v>
      </c>
      <c r="J70" s="394">
        <f>G70*1.045</f>
        <v>30.252749999999999</v>
      </c>
      <c r="K70" s="394">
        <f>J70*1.043</f>
        <v>31.553618249999996</v>
      </c>
      <c r="L70" s="394">
        <f>K70*1.043</f>
        <v>32.910423834749992</v>
      </c>
      <c r="M70" s="2570">
        <f>F70*1.026</f>
        <v>29.7018792</v>
      </c>
      <c r="N70" s="1"/>
      <c r="O70" s="998"/>
    </row>
    <row r="71" spans="1:15">
      <c r="A71" s="999"/>
      <c r="B71" s="404" t="s">
        <v>153</v>
      </c>
      <c r="C71" s="395" t="s">
        <v>11</v>
      </c>
      <c r="D71" s="395">
        <v>2218.5636</v>
      </c>
      <c r="E71" s="395">
        <f>E69*E70/1000</f>
        <v>4035.2275050483127</v>
      </c>
      <c r="F71" s="395">
        <f>F69*F70/1000</f>
        <v>3744.9920292621478</v>
      </c>
      <c r="G71" s="395">
        <f>G69*G70/1000</f>
        <v>4192.012258802999</v>
      </c>
      <c r="H71" s="395">
        <f t="shared" ref="H71:I71" si="21">H69*H70/1000</f>
        <v>2595.4527023308797</v>
      </c>
      <c r="I71" s="395">
        <f t="shared" si="21"/>
        <v>5242.814458708378</v>
      </c>
      <c r="J71" s="395">
        <f t="shared" ref="J71:L71" si="22">J69*J70/1000</f>
        <v>4380.6528104491344</v>
      </c>
      <c r="K71" s="395">
        <f t="shared" si="22"/>
        <v>4569.0208812984474</v>
      </c>
      <c r="L71" s="395">
        <f t="shared" si="22"/>
        <v>4765.4887791942792</v>
      </c>
      <c r="M71" s="2577">
        <f>M69*M70/1000</f>
        <v>4018.5454482431996</v>
      </c>
      <c r="N71" s="1"/>
      <c r="O71" s="998"/>
    </row>
    <row r="72" spans="1:15">
      <c r="A72" s="999"/>
      <c r="B72" s="165" t="s">
        <v>580</v>
      </c>
      <c r="C72" s="62"/>
      <c r="D72" s="1"/>
      <c r="E72" s="395"/>
      <c r="F72" s="395"/>
      <c r="G72" s="395"/>
      <c r="H72" s="395"/>
      <c r="I72" s="395"/>
      <c r="J72" s="395"/>
      <c r="K72" s="395"/>
      <c r="L72" s="395"/>
      <c r="M72" s="2570"/>
      <c r="N72" s="1"/>
      <c r="O72" s="998"/>
    </row>
    <row r="73" spans="1:15">
      <c r="A73" s="538"/>
      <c r="B73" s="1" t="s">
        <v>149</v>
      </c>
      <c r="C73" s="1" t="s">
        <v>579</v>
      </c>
      <c r="D73" s="394">
        <v>62890</v>
      </c>
      <c r="E73" s="394">
        <f>229175.67*0.9*0.6</f>
        <v>123754.8618</v>
      </c>
      <c r="F73" s="394">
        <v>124100</v>
      </c>
      <c r="G73" s="394">
        <f>E73</f>
        <v>123754.8618</v>
      </c>
      <c r="H73" s="394">
        <f>103513*0.96*0.59</f>
        <v>58629.763199999994</v>
      </c>
      <c r="I73" s="394">
        <f>H73*2</f>
        <v>117259.52639999999</v>
      </c>
      <c r="J73" s="394">
        <f>E73</f>
        <v>123754.8618</v>
      </c>
      <c r="K73" s="394">
        <f>J73</f>
        <v>123754.8618</v>
      </c>
      <c r="L73" s="394">
        <f>K73</f>
        <v>123754.8618</v>
      </c>
      <c r="M73" s="2570">
        <f>J73</f>
        <v>123754.8618</v>
      </c>
      <c r="N73" s="1"/>
      <c r="O73" s="998"/>
    </row>
    <row r="74" spans="1:15">
      <c r="A74" s="538"/>
      <c r="B74" s="1" t="s">
        <v>160</v>
      </c>
      <c r="C74" s="1" t="s">
        <v>291</v>
      </c>
      <c r="D74" s="394">
        <v>26.755190000000002</v>
      </c>
      <c r="E74" s="394">
        <f>6060461.55/229175.672</f>
        <v>26.444611232557005</v>
      </c>
      <c r="F74" s="394">
        <v>27.007999999999999</v>
      </c>
      <c r="G74" s="394">
        <v>28.216000000000001</v>
      </c>
      <c r="H74" s="394">
        <v>28.31</v>
      </c>
      <c r="I74" s="394">
        <f>H74*1.01</f>
        <v>28.5931</v>
      </c>
      <c r="J74" s="394">
        <f>G74*1.045</f>
        <v>29.485720000000001</v>
      </c>
      <c r="K74" s="394">
        <f>J74*1.043</f>
        <v>30.753605959999998</v>
      </c>
      <c r="L74" s="394">
        <f>K74*1.043</f>
        <v>32.076011016279999</v>
      </c>
      <c r="M74" s="2570">
        <f>H74*1.026</f>
        <v>29.046060000000001</v>
      </c>
      <c r="N74" s="1"/>
      <c r="O74" s="998"/>
    </row>
    <row r="75" spans="1:15">
      <c r="A75" s="538"/>
      <c r="B75" s="404" t="s">
        <v>153</v>
      </c>
      <c r="C75" s="395" t="s">
        <v>11</v>
      </c>
      <c r="D75" s="395">
        <v>1682.6338991000002</v>
      </c>
      <c r="E75" s="395">
        <f>E73*E74/1000</f>
        <v>3272.6492084398201</v>
      </c>
      <c r="F75" s="395">
        <f t="shared" ref="F75:I75" si="23">F73*F74/1000</f>
        <v>3351.6927999999998</v>
      </c>
      <c r="G75" s="395">
        <f t="shared" si="23"/>
        <v>3491.8671805488002</v>
      </c>
      <c r="H75" s="395">
        <f t="shared" si="23"/>
        <v>1659.8085961919996</v>
      </c>
      <c r="I75" s="395">
        <f t="shared" si="23"/>
        <v>3352.8133643078395</v>
      </c>
      <c r="J75" s="395">
        <f t="shared" ref="J75" si="24">J73*J74/1000</f>
        <v>3649.0012036734961</v>
      </c>
      <c r="K75" s="395">
        <f t="shared" ref="K75" si="25">K73*K74/1000</f>
        <v>3805.9082554314559</v>
      </c>
      <c r="L75" s="395">
        <f t="shared" ref="L75" si="26">L73*L74/1000</f>
        <v>3969.5623104150086</v>
      </c>
      <c r="M75" s="2577">
        <f>M73*M74/1000</f>
        <v>3594.5911411345078</v>
      </c>
      <c r="N75" s="1"/>
      <c r="O75" s="998"/>
    </row>
    <row r="76" spans="1:15">
      <c r="A76" s="538"/>
      <c r="B76" s="165" t="s">
        <v>581</v>
      </c>
      <c r="C76" s="395"/>
      <c r="D76" s="395"/>
      <c r="E76" s="395"/>
      <c r="F76" s="395"/>
      <c r="G76" s="395"/>
      <c r="H76" s="395"/>
      <c r="I76" s="395"/>
      <c r="J76" s="395"/>
      <c r="K76" s="395"/>
      <c r="L76" s="395"/>
      <c r="M76" s="1036"/>
      <c r="N76" s="1"/>
      <c r="O76" s="998"/>
    </row>
    <row r="77" spans="1:15">
      <c r="A77" s="538"/>
      <c r="B77" s="1" t="s">
        <v>149</v>
      </c>
      <c r="C77" s="1" t="s">
        <v>579</v>
      </c>
      <c r="D77" s="394">
        <v>10240</v>
      </c>
      <c r="E77" s="394">
        <f>30978.63*0.9*0.6</f>
        <v>16728.460199999998</v>
      </c>
      <c r="F77" s="394">
        <v>8720</v>
      </c>
      <c r="G77" s="394">
        <f>E77</f>
        <v>16728.460199999998</v>
      </c>
      <c r="H77" s="394">
        <f>14615.17*0.96*0.59</f>
        <v>8278.0322879999985</v>
      </c>
      <c r="I77" s="394">
        <f>H77*2</f>
        <v>16556.064575999997</v>
      </c>
      <c r="J77" s="394">
        <f>G77</f>
        <v>16728.460199999998</v>
      </c>
      <c r="K77" s="394">
        <f>J77</f>
        <v>16728.460199999998</v>
      </c>
      <c r="L77" s="394">
        <f>K77</f>
        <v>16728.460199999998</v>
      </c>
      <c r="M77" s="2576">
        <v>16100</v>
      </c>
      <c r="N77" s="1"/>
      <c r="O77" s="998"/>
    </row>
    <row r="78" spans="1:15">
      <c r="A78" s="538"/>
      <c r="B78" s="1" t="s">
        <v>160</v>
      </c>
      <c r="C78" s="1" t="s">
        <v>291</v>
      </c>
      <c r="D78" s="394">
        <v>29.260000000000005</v>
      </c>
      <c r="E78" s="394">
        <f>902284.31/30978.63</f>
        <v>29.126023649205923</v>
      </c>
      <c r="F78" s="394">
        <v>29.7088</v>
      </c>
      <c r="G78" s="394">
        <v>30.7</v>
      </c>
      <c r="H78" s="394">
        <v>30.71</v>
      </c>
      <c r="I78" s="394">
        <f>H78*1.01</f>
        <v>31.017100000000003</v>
      </c>
      <c r="J78" s="394">
        <f>G78*1.045</f>
        <v>32.081499999999998</v>
      </c>
      <c r="K78" s="394">
        <f>J78*1.043</f>
        <v>33.461004499999994</v>
      </c>
      <c r="L78" s="394">
        <f>K78*1.043</f>
        <v>34.899827693499994</v>
      </c>
      <c r="M78" s="2570">
        <f>I78*1.026</f>
        <v>31.823544600000005</v>
      </c>
      <c r="N78" s="1"/>
      <c r="O78" s="998"/>
    </row>
    <row r="79" spans="1:15" ht="15.75" thickBot="1">
      <c r="A79" s="1031"/>
      <c r="B79" s="1557" t="s">
        <v>593</v>
      </c>
      <c r="C79" s="405" t="s">
        <v>11</v>
      </c>
      <c r="D79" s="405">
        <v>299.62240000000003</v>
      </c>
      <c r="E79" s="405">
        <f>E77*E78/1000</f>
        <v>487.23352739999996</v>
      </c>
      <c r="F79" s="405">
        <f t="shared" ref="F79:H79" si="27">F77*F78/1000</f>
        <v>259.06073600000002</v>
      </c>
      <c r="G79" s="405">
        <f t="shared" si="27"/>
        <v>513.56372813999985</v>
      </c>
      <c r="H79" s="405">
        <f t="shared" si="27"/>
        <v>254.21837156447995</v>
      </c>
      <c r="I79" s="405"/>
      <c r="J79" s="405"/>
      <c r="K79" s="405"/>
      <c r="L79" s="405"/>
      <c r="M79" s="2582">
        <f>M77*M78/1000</f>
        <v>512.35906806000003</v>
      </c>
      <c r="N79" s="1"/>
      <c r="O79" s="998"/>
    </row>
    <row r="80" spans="1:15" ht="15.75" thickBot="1">
      <c r="A80" s="37"/>
      <c r="B80" s="38" t="s">
        <v>157</v>
      </c>
      <c r="C80" s="38" t="s">
        <v>11</v>
      </c>
      <c r="D80" s="398">
        <f>D71+D75+D79</f>
        <v>4200.8198990999999</v>
      </c>
      <c r="E80" s="398">
        <f>E71+E75+E79</f>
        <v>7795.1102408881325</v>
      </c>
      <c r="F80" s="398">
        <v>7355.7455652621475</v>
      </c>
      <c r="G80" s="398">
        <f>G71+G75+G79</f>
        <v>8197.4431674917996</v>
      </c>
      <c r="H80" s="398">
        <f t="shared" ref="H80:I80" si="28">H71+H75+H79</f>
        <v>4509.4796700873585</v>
      </c>
      <c r="I80" s="398">
        <f t="shared" si="28"/>
        <v>8595.627823016217</v>
      </c>
      <c r="J80" s="398">
        <f>J71+J75+J79</f>
        <v>8029.6540141226305</v>
      </c>
      <c r="K80" s="398">
        <f t="shared" ref="K80:O80" si="29">K71+K75+K79</f>
        <v>8374.9291367299029</v>
      </c>
      <c r="L80" s="398">
        <f t="shared" si="29"/>
        <v>8735.0510896092874</v>
      </c>
      <c r="M80" s="2583">
        <f>M71+M75+M79</f>
        <v>8125.4956574377075</v>
      </c>
      <c r="N80" s="398">
        <f t="shared" si="29"/>
        <v>0</v>
      </c>
      <c r="O80" s="2584">
        <f t="shared" si="29"/>
        <v>0</v>
      </c>
    </row>
    <row r="81" spans="1:16" ht="60">
      <c r="A81" s="1000" t="s">
        <v>161</v>
      </c>
      <c r="B81" s="45" t="s">
        <v>162</v>
      </c>
      <c r="C81" s="46"/>
      <c r="D81" s="399"/>
      <c r="E81" s="399"/>
      <c r="F81" s="399"/>
      <c r="G81" s="399"/>
      <c r="H81" s="399"/>
      <c r="I81" s="399"/>
      <c r="J81" s="399"/>
      <c r="K81" s="399"/>
      <c r="L81" s="399"/>
      <c r="M81" s="2585"/>
      <c r="N81" s="399"/>
      <c r="O81" s="2586"/>
    </row>
    <row r="82" spans="1:16">
      <c r="A82" s="1002" t="s">
        <v>64</v>
      </c>
      <c r="B82" s="44" t="s">
        <v>590</v>
      </c>
      <c r="C82" s="1"/>
      <c r="D82" s="394"/>
      <c r="E82" s="394"/>
      <c r="F82" s="394"/>
      <c r="G82" s="394"/>
      <c r="H82" s="394"/>
      <c r="I82" s="394"/>
      <c r="J82" s="394"/>
      <c r="K82" s="394"/>
      <c r="L82" s="394"/>
      <c r="M82" s="1036"/>
      <c r="N82" s="1"/>
      <c r="O82" s="998"/>
    </row>
    <row r="83" spans="1:16">
      <c r="A83" s="538"/>
      <c r="B83" s="1" t="s">
        <v>149</v>
      </c>
      <c r="C83" s="1" t="s">
        <v>579</v>
      </c>
      <c r="D83" s="394">
        <v>588.79999999999995</v>
      </c>
      <c r="E83" s="394">
        <f>1318.1*0.9*0.6</f>
        <v>711.774</v>
      </c>
      <c r="F83" s="394">
        <v>590</v>
      </c>
      <c r="G83" s="394">
        <f>E83</f>
        <v>711.774</v>
      </c>
      <c r="H83" s="394">
        <f t="shared" ref="H83:I83" si="30">F83</f>
        <v>590</v>
      </c>
      <c r="I83" s="394">
        <f t="shared" si="30"/>
        <v>711.774</v>
      </c>
      <c r="J83" s="394">
        <f>G83</f>
        <v>711.774</v>
      </c>
      <c r="K83" s="394">
        <f>J83</f>
        <v>711.774</v>
      </c>
      <c r="L83" s="394">
        <f>K83</f>
        <v>711.774</v>
      </c>
      <c r="M83" s="2576">
        <v>0</v>
      </c>
      <c r="N83" s="1"/>
      <c r="O83" s="998"/>
      <c r="P83" t="s">
        <v>1744</v>
      </c>
    </row>
    <row r="84" spans="1:16">
      <c r="A84" s="538"/>
      <c r="B84" s="1" t="s">
        <v>160</v>
      </c>
      <c r="C84" s="1" t="s">
        <v>1032</v>
      </c>
      <c r="D84" s="394">
        <v>352.9</v>
      </c>
      <c r="E84" s="394">
        <f>476668.14/1318.1</f>
        <v>361.63275927471364</v>
      </c>
      <c r="F84" s="394">
        <v>372.30949999999996</v>
      </c>
      <c r="G84" s="394">
        <v>376.1</v>
      </c>
      <c r="H84" s="394">
        <v>376.1</v>
      </c>
      <c r="I84" s="394">
        <v>376.1</v>
      </c>
      <c r="J84" s="394">
        <f>G84*1.045</f>
        <v>393.02449999999999</v>
      </c>
      <c r="K84" s="394">
        <f>J84*1.043</f>
        <v>409.92455349999994</v>
      </c>
      <c r="L84" s="394">
        <f>K84*1.043</f>
        <v>427.5513093004999</v>
      </c>
      <c r="M84" s="2570"/>
      <c r="N84" s="1"/>
      <c r="O84" s="998"/>
    </row>
    <row r="85" spans="1:16">
      <c r="A85" s="999"/>
      <c r="B85" s="108" t="s">
        <v>593</v>
      </c>
      <c r="C85" s="62"/>
      <c r="D85" s="395">
        <f>D83*D84/1000</f>
        <v>207.78751999999997</v>
      </c>
      <c r="E85" s="395">
        <f>E83*E84/1000</f>
        <v>257.40079560000004</v>
      </c>
      <c r="F85" s="395">
        <v>219.66260499999999</v>
      </c>
      <c r="G85" s="395">
        <v>219.66260499999999</v>
      </c>
      <c r="H85" s="395">
        <v>219.66260499999999</v>
      </c>
      <c r="I85" s="395">
        <v>219.66260499999999</v>
      </c>
      <c r="J85" s="395">
        <v>219.66260499999999</v>
      </c>
      <c r="K85" s="395">
        <v>219.66260499999999</v>
      </c>
      <c r="L85" s="395">
        <v>219.66260499999999</v>
      </c>
      <c r="M85" s="2577">
        <v>0</v>
      </c>
      <c r="N85" s="1"/>
      <c r="O85" s="998"/>
    </row>
    <row r="86" spans="1:16">
      <c r="A86" s="538"/>
      <c r="B86" s="43" t="s">
        <v>592</v>
      </c>
      <c r="C86" s="1"/>
      <c r="D86" s="394"/>
      <c r="E86" s="394"/>
      <c r="F86" s="394"/>
      <c r="G86" s="394"/>
      <c r="H86" s="394"/>
      <c r="I86" s="394"/>
      <c r="J86" s="394"/>
      <c r="K86" s="394"/>
      <c r="L86" s="394"/>
      <c r="M86" s="1036"/>
      <c r="N86" s="1"/>
      <c r="O86" s="998"/>
    </row>
    <row r="87" spans="1:16">
      <c r="A87" s="538"/>
      <c r="B87" s="1" t="s">
        <v>1203</v>
      </c>
      <c r="C87" s="1" t="s">
        <v>1033</v>
      </c>
      <c r="D87" s="394">
        <v>80</v>
      </c>
      <c r="E87" s="394">
        <v>80</v>
      </c>
      <c r="F87" s="394">
        <v>80</v>
      </c>
      <c r="G87" s="394">
        <v>80</v>
      </c>
      <c r="H87" s="394">
        <v>80</v>
      </c>
      <c r="I87" s="394">
        <v>80</v>
      </c>
      <c r="J87" s="394">
        <v>80</v>
      </c>
      <c r="K87" s="394">
        <v>80</v>
      </c>
      <c r="L87" s="394">
        <v>80</v>
      </c>
      <c r="M87" s="2570"/>
      <c r="N87" s="1"/>
      <c r="O87" s="998"/>
      <c r="P87" t="s">
        <v>1744</v>
      </c>
    </row>
    <row r="88" spans="1:16">
      <c r="A88" s="538"/>
      <c r="B88" s="1" t="s">
        <v>160</v>
      </c>
      <c r="C88" s="1" t="s">
        <v>1034</v>
      </c>
      <c r="D88" s="394">
        <v>1578.1316400000001</v>
      </c>
      <c r="E88" s="394">
        <v>1578</v>
      </c>
      <c r="F88" s="394">
        <v>1664.9288801999999</v>
      </c>
      <c r="G88" s="394">
        <v>1665</v>
      </c>
      <c r="H88" s="394">
        <v>1665</v>
      </c>
      <c r="I88" s="394">
        <v>1665</v>
      </c>
      <c r="J88" s="394">
        <f>G88*1.045</f>
        <v>1739.925</v>
      </c>
      <c r="K88" s="394">
        <f>J88*1.043</f>
        <v>1814.7417749999997</v>
      </c>
      <c r="L88" s="394">
        <f>K88*1.043</f>
        <v>1892.7756713249996</v>
      </c>
      <c r="M88" s="2570"/>
      <c r="N88" s="1"/>
      <c r="O88" s="998"/>
    </row>
    <row r="89" spans="1:16" ht="15.75" thickBot="1">
      <c r="A89" s="1097"/>
      <c r="B89" s="121" t="s">
        <v>593</v>
      </c>
      <c r="C89" s="232" t="s">
        <v>11</v>
      </c>
      <c r="D89" s="405">
        <f>D87*D88/1000</f>
        <v>126.2505312</v>
      </c>
      <c r="E89" s="405">
        <f>E87*E88/1000</f>
        <v>126.24</v>
      </c>
      <c r="F89" s="405">
        <f t="shared" ref="F89:L89" si="31">F87*F88/1000</f>
        <v>133.19431041599998</v>
      </c>
      <c r="G89" s="405">
        <f t="shared" si="31"/>
        <v>133.19999999999999</v>
      </c>
      <c r="H89" s="405">
        <f t="shared" ref="H89:I89" si="32">H87*H88/1000</f>
        <v>133.19999999999999</v>
      </c>
      <c r="I89" s="405">
        <f t="shared" si="32"/>
        <v>133.19999999999999</v>
      </c>
      <c r="J89" s="405">
        <f t="shared" si="31"/>
        <v>139.19399999999999</v>
      </c>
      <c r="K89" s="405">
        <f t="shared" si="31"/>
        <v>145.17934199999996</v>
      </c>
      <c r="L89" s="405">
        <f t="shared" si="31"/>
        <v>151.42205370599999</v>
      </c>
      <c r="M89" s="2587">
        <f>M87*M88/1000</f>
        <v>0</v>
      </c>
      <c r="N89" s="1"/>
      <c r="O89" s="998"/>
    </row>
    <row r="90" spans="1:16" ht="15.75" thickBot="1">
      <c r="A90" s="37"/>
      <c r="B90" s="38" t="s">
        <v>157</v>
      </c>
      <c r="C90" s="38" t="s">
        <v>11</v>
      </c>
      <c r="D90" s="397">
        <v>334.03805119999998</v>
      </c>
      <c r="E90" s="397">
        <f>(E89+E85)</f>
        <v>383.64079560000005</v>
      </c>
      <c r="F90" s="397">
        <v>352.85691541599999</v>
      </c>
      <c r="G90" s="397">
        <f t="shared" ref="G90:J90" si="33">(G89+G85)</f>
        <v>352.86260499999997</v>
      </c>
      <c r="H90" s="397">
        <f t="shared" si="33"/>
        <v>352.86260499999997</v>
      </c>
      <c r="I90" s="397">
        <f t="shared" si="33"/>
        <v>352.86260499999997</v>
      </c>
      <c r="J90" s="397">
        <f t="shared" si="33"/>
        <v>358.85660499999994</v>
      </c>
      <c r="K90" s="397"/>
      <c r="L90" s="397"/>
      <c r="M90" s="2672">
        <v>0</v>
      </c>
      <c r="N90" s="397"/>
      <c r="O90" s="2584"/>
    </row>
    <row r="91" spans="1:16" ht="60">
      <c r="A91" s="1003" t="s">
        <v>163</v>
      </c>
      <c r="B91" s="1560" t="s">
        <v>1386</v>
      </c>
      <c r="C91" s="47" t="s">
        <v>164</v>
      </c>
      <c r="D91" s="400">
        <v>5060.9444444444434</v>
      </c>
      <c r="E91" s="400">
        <f>'материалы- ВС,ВО'!I37</f>
        <v>5102.9856540479996</v>
      </c>
      <c r="F91" s="400">
        <v>5339.2963888888871</v>
      </c>
      <c r="G91" s="400">
        <f>E91*1.05</f>
        <v>5358.1349367503999</v>
      </c>
      <c r="H91" s="401">
        <f>H92+H94+H95</f>
        <v>2127.2415071999999</v>
      </c>
      <c r="I91" s="401">
        <f>I92+I94+I95</f>
        <v>4254.4830143999998</v>
      </c>
      <c r="J91" s="401">
        <f>I91*1.045</f>
        <v>4445.9347500479998</v>
      </c>
      <c r="K91" s="401">
        <f>J91*1.043</f>
        <v>4637.1099443000639</v>
      </c>
      <c r="L91" s="401">
        <f>K91*1.043</f>
        <v>4836.5056719049662</v>
      </c>
      <c r="M91" s="2588">
        <f>M92+M93+M94+M95</f>
        <v>2965.9034169599995</v>
      </c>
      <c r="N91" s="401"/>
      <c r="O91" s="2589"/>
    </row>
    <row r="92" spans="1:16">
      <c r="A92" s="2011"/>
      <c r="B92" s="2012" t="s">
        <v>1383</v>
      </c>
      <c r="C92" s="40" t="s">
        <v>164</v>
      </c>
      <c r="D92" s="2013"/>
      <c r="E92" s="2013"/>
      <c r="F92" s="2013"/>
      <c r="G92" s="2013"/>
      <c r="H92" s="2013">
        <f>41.933*0.96*0.59+672.954*0.96*0.59</f>
        <v>404.91199679999994</v>
      </c>
      <c r="I92" s="2013">
        <f>H92*2</f>
        <v>809.82399359999988</v>
      </c>
      <c r="J92" s="2013">
        <f>I92*1.045</f>
        <v>846.26607331199978</v>
      </c>
      <c r="K92" s="2013">
        <f>J92*1.043</f>
        <v>882.65551446441566</v>
      </c>
      <c r="L92" s="2013">
        <f>K92*1.043</f>
        <v>920.60970158638543</v>
      </c>
      <c r="M92" s="2590"/>
      <c r="N92" s="2013"/>
      <c r="O92" s="2591"/>
      <c r="P92" t="s">
        <v>1647</v>
      </c>
    </row>
    <row r="93" spans="1:16" ht="22.5" customHeight="1">
      <c r="A93" s="2011"/>
      <c r="B93" s="2012" t="s">
        <v>1384</v>
      </c>
      <c r="C93" s="40" t="s">
        <v>164</v>
      </c>
      <c r="D93" s="2013"/>
      <c r="E93" s="2013"/>
      <c r="F93" s="2013"/>
      <c r="G93" s="2013"/>
      <c r="H93" s="2013">
        <f>220.65*0.96*0.59+214.599*0.96*0.59+328.5*0.96*0.59</f>
        <v>432.58743359999994</v>
      </c>
      <c r="I93" s="2013">
        <f t="shared" ref="I93:I95" si="34">H93*2</f>
        <v>865.17486719999988</v>
      </c>
      <c r="J93" s="2013">
        <f t="shared" ref="J93:J95" si="35">I93*1.045</f>
        <v>904.10773622399984</v>
      </c>
      <c r="K93" s="2013">
        <f t="shared" ref="K93:L95" si="36">J93*1.043</f>
        <v>942.98436888163178</v>
      </c>
      <c r="L93" s="2013">
        <f t="shared" si="36"/>
        <v>983.53269674354192</v>
      </c>
      <c r="M93" s="2590">
        <v>0</v>
      </c>
      <c r="N93" s="2013"/>
      <c r="O93" s="2591"/>
      <c r="P93" t="s">
        <v>1646</v>
      </c>
    </row>
    <row r="94" spans="1:16" ht="30">
      <c r="A94" s="2011"/>
      <c r="B94" s="2012" t="s">
        <v>1385</v>
      </c>
      <c r="C94" s="40" t="s">
        <v>164</v>
      </c>
      <c r="D94" s="2013"/>
      <c r="E94" s="2013"/>
      <c r="F94" s="2013"/>
      <c r="G94" s="2013"/>
      <c r="H94" s="2013">
        <f>925.865*0.96*0.59+1454.46*0.96*0.59+125.135*0.96*0.59</f>
        <v>1419.0925439999999</v>
      </c>
      <c r="I94" s="2013">
        <f t="shared" si="34"/>
        <v>2838.1850879999997</v>
      </c>
      <c r="J94" s="2013">
        <f t="shared" si="35"/>
        <v>2965.9034169599995</v>
      </c>
      <c r="K94" s="2013">
        <f t="shared" si="36"/>
        <v>3093.4372638892792</v>
      </c>
      <c r="L94" s="2013">
        <f t="shared" si="36"/>
        <v>3226.4550662365177</v>
      </c>
      <c r="M94" s="2590">
        <f>J94</f>
        <v>2965.9034169599995</v>
      </c>
      <c r="N94" s="2013"/>
      <c r="O94" s="2591"/>
    </row>
    <row r="95" spans="1:16">
      <c r="A95" s="2011"/>
      <c r="B95" s="2012" t="s">
        <v>1387</v>
      </c>
      <c r="C95" s="40" t="s">
        <v>164</v>
      </c>
      <c r="D95" s="2013"/>
      <c r="E95" s="2013"/>
      <c r="F95" s="2013"/>
      <c r="G95" s="2013"/>
      <c r="H95" s="2013">
        <f>328.89*0.96*0.59+125.516*0.96*0.59+80.97*0.96*0.59</f>
        <v>303.23696639999997</v>
      </c>
      <c r="I95" s="2013">
        <f t="shared" si="34"/>
        <v>606.47393279999994</v>
      </c>
      <c r="J95" s="2013">
        <f t="shared" si="35"/>
        <v>633.76525977599988</v>
      </c>
      <c r="K95" s="2013">
        <f t="shared" si="36"/>
        <v>661.01716594636787</v>
      </c>
      <c r="L95" s="2013">
        <f t="shared" si="36"/>
        <v>689.44090408206159</v>
      </c>
      <c r="M95" s="2590">
        <v>0</v>
      </c>
      <c r="N95" s="2013"/>
      <c r="O95" s="2591"/>
      <c r="P95" t="s">
        <v>1646</v>
      </c>
    </row>
    <row r="96" spans="1:16" ht="15.75" thickBot="1">
      <c r="A96" s="2009"/>
      <c r="B96" s="382" t="s">
        <v>1207</v>
      </c>
      <c r="C96" s="382" t="s">
        <v>11</v>
      </c>
      <c r="D96" s="2010">
        <f t="shared" ref="D96:O96" si="37">D66+D80+D90+D91</f>
        <v>89554.618036984437</v>
      </c>
      <c r="E96" s="2010">
        <f t="shared" si="37"/>
        <v>88830.586908536119</v>
      </c>
      <c r="F96" s="2010">
        <f t="shared" si="37"/>
        <v>88365.02600241972</v>
      </c>
      <c r="G96" s="2010">
        <f t="shared" si="37"/>
        <v>101638.75511924221</v>
      </c>
      <c r="H96" s="2010">
        <f t="shared" si="37"/>
        <v>47095.118982287357</v>
      </c>
      <c r="I96" s="2010">
        <f t="shared" si="37"/>
        <v>116387.75244241621</v>
      </c>
      <c r="J96" s="2010">
        <f t="shared" si="37"/>
        <v>162700.66830793067</v>
      </c>
      <c r="K96" s="2010">
        <f t="shared" si="37"/>
        <v>167741.87364907598</v>
      </c>
      <c r="L96" s="2010">
        <f t="shared" si="37"/>
        <v>176031.04993927525</v>
      </c>
      <c r="M96" s="2592">
        <f>M66+M80+M90+M91</f>
        <v>109769.91409646446</v>
      </c>
      <c r="N96" s="2010">
        <f t="shared" si="37"/>
        <v>0</v>
      </c>
      <c r="O96" s="2593">
        <f t="shared" si="37"/>
        <v>0</v>
      </c>
    </row>
    <row r="97" spans="1:19" ht="15.75" thickBot="1">
      <c r="A97" s="1288"/>
      <c r="B97" s="77" t="s">
        <v>1053</v>
      </c>
      <c r="C97" s="77" t="s">
        <v>11</v>
      </c>
      <c r="D97" s="402">
        <f t="shared" ref="D97:O97" si="38">D90+D91</f>
        <v>5394.9824956444436</v>
      </c>
      <c r="E97" s="402">
        <f t="shared" si="38"/>
        <v>5486.6264496479998</v>
      </c>
      <c r="F97" s="402">
        <f t="shared" si="38"/>
        <v>5692.1533043048876</v>
      </c>
      <c r="G97" s="402">
        <f t="shared" si="38"/>
        <v>5710.9975417504002</v>
      </c>
      <c r="H97" s="402">
        <f t="shared" si="38"/>
        <v>2480.1041121999997</v>
      </c>
      <c r="I97" s="402">
        <f t="shared" si="38"/>
        <v>4607.3456194</v>
      </c>
      <c r="J97" s="402">
        <f t="shared" si="38"/>
        <v>4804.7913550479998</v>
      </c>
      <c r="K97" s="402">
        <f t="shared" si="38"/>
        <v>4637.1099443000639</v>
      </c>
      <c r="L97" s="402">
        <f t="shared" si="38"/>
        <v>4836.5056719049662</v>
      </c>
      <c r="M97" s="2594">
        <f t="shared" si="38"/>
        <v>2965.9034169599995</v>
      </c>
      <c r="N97" s="402">
        <f t="shared" si="38"/>
        <v>0</v>
      </c>
      <c r="O97" s="2595">
        <f t="shared" si="38"/>
        <v>0</v>
      </c>
    </row>
    <row r="98" spans="1:19">
      <c r="A98" s="55"/>
      <c r="B98" s="56"/>
      <c r="C98" s="56"/>
      <c r="D98" s="419"/>
      <c r="E98" s="56"/>
      <c r="F98" s="56"/>
      <c r="G98" s="419"/>
      <c r="H98" s="419"/>
      <c r="I98" s="419"/>
      <c r="J98" s="56"/>
    </row>
    <row r="99" spans="1:19">
      <c r="A99" s="55"/>
      <c r="B99" s="56"/>
      <c r="C99" s="56"/>
      <c r="D99" s="56"/>
      <c r="E99" s="56"/>
      <c r="F99" s="3457" t="s">
        <v>171</v>
      </c>
      <c r="G99" s="3457"/>
      <c r="H99" s="3457"/>
      <c r="I99" s="3457"/>
      <c r="J99" s="3457"/>
    </row>
    <row r="100" spans="1:19">
      <c r="A100" s="55"/>
      <c r="B100" s="56"/>
      <c r="C100" s="56"/>
      <c r="D100" s="56"/>
      <c r="E100" s="419"/>
      <c r="F100" s="3457" t="s">
        <v>169</v>
      </c>
      <c r="G100" s="3457"/>
      <c r="H100" s="3457"/>
      <c r="I100" s="3457"/>
      <c r="J100" s="3457"/>
      <c r="K100" s="403"/>
      <c r="L100" s="403"/>
    </row>
    <row r="101" spans="1:19">
      <c r="A101" s="55"/>
      <c r="B101" s="56"/>
      <c r="C101" s="56"/>
      <c r="D101" s="56"/>
      <c r="E101" s="56"/>
      <c r="F101" s="58" t="s">
        <v>294</v>
      </c>
      <c r="G101" s="58"/>
      <c r="H101" s="58"/>
      <c r="I101" s="58"/>
      <c r="J101" s="58"/>
      <c r="K101" s="403"/>
      <c r="L101" s="403"/>
    </row>
    <row r="102" spans="1:19">
      <c r="A102" s="55"/>
      <c r="B102" s="56"/>
      <c r="C102" s="56"/>
      <c r="D102" s="56"/>
      <c r="E102" s="56"/>
      <c r="F102" s="3457" t="s">
        <v>170</v>
      </c>
      <c r="G102" s="3457"/>
      <c r="H102" s="3457"/>
      <c r="I102" s="3457"/>
      <c r="J102" s="3457"/>
    </row>
    <row r="103" spans="1:19" ht="15.75">
      <c r="A103" s="361" t="s">
        <v>525</v>
      </c>
      <c r="B103" s="362"/>
      <c r="C103" s="362"/>
      <c r="D103" s="362"/>
      <c r="E103" s="56"/>
      <c r="F103" s="355"/>
      <c r="G103" s="355"/>
      <c r="H103" s="1960"/>
      <c r="I103" s="1960"/>
      <c r="J103" s="355"/>
      <c r="R103" s="3435" t="s">
        <v>1654</v>
      </c>
      <c r="S103" s="3435"/>
    </row>
    <row r="104" spans="1:19" ht="15.75" thickBot="1">
      <c r="A104" s="59" t="s">
        <v>1797</v>
      </c>
      <c r="B104" s="56"/>
      <c r="C104" s="56"/>
      <c r="D104" s="56" t="s">
        <v>1201</v>
      </c>
      <c r="E104" s="56"/>
      <c r="F104" s="56"/>
      <c r="G104" s="56"/>
      <c r="H104" s="56"/>
      <c r="I104" s="56"/>
      <c r="J104" s="56"/>
      <c r="K104" s="56"/>
      <c r="L104" s="56"/>
      <c r="M104" s="3042">
        <f>M111/'Баланс ВС_2016 (2)'!O28</f>
        <v>0.63779304631015687</v>
      </c>
      <c r="N104" s="3042">
        <f>N111/'Баланс ВС_2016 (2)'!P28</f>
        <v>0.63176960162761098</v>
      </c>
      <c r="O104" s="3042">
        <f>O111/'Баланс ВС_2016 (2)'!Q28</f>
        <v>0.6289759901275197</v>
      </c>
      <c r="R104" s="1" t="s">
        <v>1655</v>
      </c>
      <c r="S104" s="1" t="s">
        <v>32</v>
      </c>
    </row>
    <row r="105" spans="1:19" ht="15.75" customHeight="1" thickBot="1">
      <c r="A105" s="59"/>
      <c r="B105" s="3389" t="s">
        <v>1</v>
      </c>
      <c r="C105" s="3389" t="s">
        <v>2</v>
      </c>
      <c r="D105" s="3459" t="s">
        <v>165</v>
      </c>
      <c r="E105" s="3460"/>
      <c r="F105" s="3460"/>
      <c r="G105" s="3460"/>
      <c r="H105" s="3460"/>
      <c r="I105" s="3460"/>
      <c r="J105" s="3460"/>
      <c r="K105" s="2044"/>
      <c r="L105" s="2044"/>
      <c r="M105" s="3439" t="s">
        <v>1460</v>
      </c>
      <c r="N105" s="3440"/>
      <c r="O105" s="3441"/>
      <c r="Q105" s="3445" t="s">
        <v>1649</v>
      </c>
      <c r="R105" s="1484">
        <v>5127.5</v>
      </c>
      <c r="S105" s="1">
        <v>15962.2</v>
      </c>
    </row>
    <row r="106" spans="1:19" ht="15.75" customHeight="1" thickBot="1">
      <c r="A106" s="59"/>
      <c r="B106" s="3401"/>
      <c r="C106" s="3401"/>
      <c r="D106" s="3456" t="s">
        <v>1153</v>
      </c>
      <c r="E106" s="3456"/>
      <c r="F106" s="3416">
        <v>2015</v>
      </c>
      <c r="G106" s="3417"/>
      <c r="H106" s="3389" t="s">
        <v>1375</v>
      </c>
      <c r="I106" s="3389" t="s">
        <v>1376</v>
      </c>
      <c r="J106" s="3436" t="s">
        <v>394</v>
      </c>
      <c r="K106" s="3436" t="s">
        <v>1154</v>
      </c>
      <c r="L106" s="3436" t="s">
        <v>1155</v>
      </c>
      <c r="M106" s="3442"/>
      <c r="N106" s="3443"/>
      <c r="O106" s="3444"/>
      <c r="Q106" s="3446"/>
      <c r="R106" s="1481">
        <v>13309.3</v>
      </c>
      <c r="S106" s="1">
        <v>35881.9</v>
      </c>
    </row>
    <row r="107" spans="1:19" ht="26.25" customHeight="1" thickBot="1">
      <c r="A107" s="59"/>
      <c r="B107" s="3390"/>
      <c r="C107" s="3390"/>
      <c r="D107" s="1562" t="s">
        <v>5</v>
      </c>
      <c r="E107" s="476" t="s">
        <v>6</v>
      </c>
      <c r="F107" s="476" t="s">
        <v>1152</v>
      </c>
      <c r="G107" s="476" t="s">
        <v>8</v>
      </c>
      <c r="H107" s="3390"/>
      <c r="I107" s="3390"/>
      <c r="J107" s="3437"/>
      <c r="K107" s="3437"/>
      <c r="L107" s="3437"/>
      <c r="M107" s="2542">
        <v>2016</v>
      </c>
      <c r="N107" s="2542">
        <v>2017</v>
      </c>
      <c r="O107" s="2542">
        <v>2018</v>
      </c>
      <c r="Q107" s="3446"/>
      <c r="R107" s="2604">
        <v>5161.7</v>
      </c>
      <c r="S107" s="2606">
        <v>13931.1</v>
      </c>
    </row>
    <row r="108" spans="1:19">
      <c r="A108" s="59"/>
      <c r="B108" s="2045">
        <v>2</v>
      </c>
      <c r="C108" s="2045">
        <v>3</v>
      </c>
      <c r="D108" s="2045">
        <v>4</v>
      </c>
      <c r="E108" s="2045">
        <v>5</v>
      </c>
      <c r="F108" s="2045">
        <v>6</v>
      </c>
      <c r="G108" s="2045">
        <v>7</v>
      </c>
      <c r="H108" s="2045"/>
      <c r="I108" s="2045"/>
      <c r="J108" s="3">
        <v>8</v>
      </c>
      <c r="K108" s="26">
        <v>9</v>
      </c>
      <c r="L108" s="26">
        <v>10</v>
      </c>
      <c r="M108" s="2544">
        <v>11</v>
      </c>
      <c r="N108" s="214">
        <v>12</v>
      </c>
      <c r="O108" s="2545">
        <v>13</v>
      </c>
      <c r="Q108" s="3446"/>
      <c r="R108" s="2605">
        <v>76.5</v>
      </c>
      <c r="S108" s="112">
        <v>204.8</v>
      </c>
    </row>
    <row r="109" spans="1:19">
      <c r="A109" s="59"/>
      <c r="B109" s="1" t="s">
        <v>173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036"/>
      <c r="N109" s="1"/>
      <c r="O109" s="998"/>
      <c r="Q109" s="3446"/>
      <c r="R109" s="116">
        <v>325.8</v>
      </c>
      <c r="S109" s="1">
        <v>889.9</v>
      </c>
    </row>
    <row r="110" spans="1:19">
      <c r="A110" s="59"/>
      <c r="B110" s="62" t="s">
        <v>175</v>
      </c>
      <c r="C110" s="63" t="s">
        <v>1063</v>
      </c>
      <c r="D110" s="1"/>
      <c r="E110" s="1"/>
      <c r="F110" s="1"/>
      <c r="G110" s="1"/>
      <c r="H110" s="1"/>
      <c r="I110" s="1"/>
      <c r="J110" s="1"/>
      <c r="K110" s="1"/>
      <c r="L110" s="1"/>
      <c r="M110" s="1036"/>
      <c r="N110" s="1"/>
      <c r="O110" s="998"/>
      <c r="Q110" s="3446"/>
      <c r="R110" s="116">
        <v>1550.8</v>
      </c>
      <c r="S110" s="1">
        <v>4334.8</v>
      </c>
    </row>
    <row r="111" spans="1:19" ht="30">
      <c r="A111" s="59"/>
      <c r="B111" s="67" t="s">
        <v>176</v>
      </c>
      <c r="C111" s="68" t="s">
        <v>1064</v>
      </c>
      <c r="D111" s="424">
        <f t="shared" ref="D111:H111" si="39">D112+D113+D114+D115</f>
        <v>32763.311799999999</v>
      </c>
      <c r="E111" s="424">
        <f t="shared" si="39"/>
        <v>30097.5</v>
      </c>
      <c r="F111" s="424">
        <f t="shared" si="39"/>
        <v>31523.800000000003</v>
      </c>
      <c r="G111" s="424">
        <f t="shared" si="39"/>
        <v>30127.200000000001</v>
      </c>
      <c r="H111" s="424">
        <f t="shared" si="39"/>
        <v>15034.449999999999</v>
      </c>
      <c r="I111" s="424">
        <f>I112+I113</f>
        <v>31031.100000000002</v>
      </c>
      <c r="J111" s="424">
        <f>J112+J113+J114+J115</f>
        <v>31336.9</v>
      </c>
      <c r="K111" s="424">
        <f t="shared" ref="K111:L111" si="40">K112+K113+K114+K115</f>
        <v>31336.9</v>
      </c>
      <c r="L111" s="424">
        <f t="shared" si="40"/>
        <v>31336.9</v>
      </c>
      <c r="M111" s="2555">
        <f t="shared" ref="M111:O111" si="41">M112+M113+M114+M115</f>
        <v>31272.7</v>
      </c>
      <c r="N111" s="2555">
        <f t="shared" si="41"/>
        <v>31272.7</v>
      </c>
      <c r="O111" s="2555">
        <f t="shared" si="41"/>
        <v>31272.7</v>
      </c>
      <c r="Q111" s="3446"/>
      <c r="R111" s="1481">
        <v>5446.4</v>
      </c>
      <c r="S111" s="1">
        <f>3622.2+22.5+411.6+239.1+1251.8+191.9+1031.7+2261.2+1379.9+176.7</f>
        <v>10588.6</v>
      </c>
    </row>
    <row r="112" spans="1:19" ht="17.25" customHeight="1">
      <c r="A112" s="59"/>
      <c r="B112" s="69" t="s">
        <v>177</v>
      </c>
      <c r="C112" s="68" t="s">
        <v>1064</v>
      </c>
      <c r="D112" s="424">
        <f>793.73+1073.4</f>
        <v>1867.13</v>
      </c>
      <c r="E112" s="424">
        <v>1511.8</v>
      </c>
      <c r="F112" s="424">
        <v>1527.4</v>
      </c>
      <c r="G112" s="424">
        <v>1395.3</v>
      </c>
      <c r="H112" s="424">
        <v>571.65</v>
      </c>
      <c r="I112" s="424">
        <v>1148.9000000000001</v>
      </c>
      <c r="J112" s="424">
        <v>1472.7</v>
      </c>
      <c r="K112" s="424">
        <v>1472.7</v>
      </c>
      <c r="L112" s="424">
        <v>1472.7</v>
      </c>
      <c r="M112" s="2555">
        <v>1472.7</v>
      </c>
      <c r="N112" s="2555">
        <v>1472.7</v>
      </c>
      <c r="O112" s="2555">
        <f>L112</f>
        <v>1472.7</v>
      </c>
      <c r="Q112" s="3446"/>
      <c r="R112" s="1481">
        <v>69.7</v>
      </c>
      <c r="S112" s="1">
        <v>189.7</v>
      </c>
    </row>
    <row r="113" spans="1:19" ht="16.5" customHeight="1">
      <c r="A113" s="59"/>
      <c r="B113" s="69" t="s">
        <v>179</v>
      </c>
      <c r="C113" s="68" t="s">
        <v>1064</v>
      </c>
      <c r="D113" s="424">
        <f>25663.9918+5232.19</f>
        <v>30896.181799999998</v>
      </c>
      <c r="E113" s="424">
        <v>28585.7</v>
      </c>
      <c r="F113" s="424">
        <v>29996.400000000001</v>
      </c>
      <c r="G113" s="424">
        <v>28731.9</v>
      </c>
      <c r="H113" s="424">
        <v>14462.8</v>
      </c>
      <c r="I113" s="424">
        <v>29882.2</v>
      </c>
      <c r="J113" s="424">
        <v>29864.2</v>
      </c>
      <c r="K113" s="424">
        <v>29864.2</v>
      </c>
      <c r="L113" s="424">
        <v>29864.2</v>
      </c>
      <c r="M113" s="2555">
        <v>29800</v>
      </c>
      <c r="N113" s="2555">
        <v>29800</v>
      </c>
      <c r="O113" s="2555">
        <v>29800</v>
      </c>
      <c r="Q113" s="3446"/>
      <c r="R113" s="1481">
        <v>20.100000000000001</v>
      </c>
      <c r="S113" s="1">
        <v>76</v>
      </c>
    </row>
    <row r="114" spans="1:19" ht="18" customHeight="1">
      <c r="A114" s="59"/>
      <c r="B114" s="69" t="s">
        <v>180</v>
      </c>
      <c r="C114" s="68" t="s">
        <v>178</v>
      </c>
      <c r="D114" s="424"/>
      <c r="E114" s="69"/>
      <c r="F114" s="424"/>
      <c r="G114" s="424"/>
      <c r="H114" s="424"/>
      <c r="I114" s="424">
        <f t="shared" ref="I114:I148" si="42">H114*2</f>
        <v>0</v>
      </c>
      <c r="J114" s="69"/>
      <c r="K114" s="69"/>
      <c r="L114" s="69"/>
      <c r="M114" s="2546"/>
      <c r="N114" s="2547"/>
      <c r="O114" s="2548"/>
      <c r="Q114" s="3446"/>
      <c r="R114" s="1481">
        <v>3</v>
      </c>
      <c r="S114" s="1">
        <v>11.3</v>
      </c>
    </row>
    <row r="115" spans="1:19" ht="24.75" hidden="1" customHeight="1">
      <c r="A115" s="59"/>
      <c r="B115" s="69" t="s">
        <v>182</v>
      </c>
      <c r="C115" s="68" t="s">
        <v>178</v>
      </c>
      <c r="D115" s="424"/>
      <c r="E115" s="69"/>
      <c r="F115" s="424"/>
      <c r="G115" s="424"/>
      <c r="H115" s="424"/>
      <c r="I115" s="424">
        <f t="shared" si="42"/>
        <v>0</v>
      </c>
      <c r="J115" s="69"/>
      <c r="K115" s="69"/>
      <c r="L115" s="69"/>
      <c r="M115" s="1036"/>
      <c r="N115" s="1"/>
      <c r="O115" s="998"/>
      <c r="Q115" s="3446"/>
      <c r="R115" s="1122">
        <f>SUM(R105:R114)</f>
        <v>31090.799999999999</v>
      </c>
    </row>
    <row r="116" spans="1:19" ht="30" hidden="1" customHeight="1">
      <c r="A116" s="59"/>
      <c r="B116" s="64" t="s">
        <v>183</v>
      </c>
      <c r="C116" s="65" t="s">
        <v>178</v>
      </c>
      <c r="D116" s="66"/>
      <c r="E116" s="66"/>
      <c r="F116" s="66"/>
      <c r="G116" s="66"/>
      <c r="H116" s="66"/>
      <c r="I116" s="66">
        <f t="shared" si="42"/>
        <v>0</v>
      </c>
      <c r="J116" s="66"/>
      <c r="K116" s="66"/>
      <c r="L116" s="66"/>
      <c r="M116" s="1036"/>
      <c r="N116" s="1"/>
      <c r="O116" s="998"/>
      <c r="Q116" s="3446"/>
      <c r="R116" s="1122"/>
    </row>
    <row r="117" spans="1:19" ht="15" hidden="1" customHeight="1">
      <c r="A117" s="59"/>
      <c r="B117" s="66" t="s">
        <v>184</v>
      </c>
      <c r="C117" s="65" t="s">
        <v>189</v>
      </c>
      <c r="D117" s="66"/>
      <c r="E117" s="66">
        <f t="shared" ref="E117" si="43">E118+E119+E120+E121+E122</f>
        <v>0</v>
      </c>
      <c r="F117" s="66"/>
      <c r="G117" s="66"/>
      <c r="H117" s="66"/>
      <c r="I117" s="66">
        <f t="shared" si="42"/>
        <v>0</v>
      </c>
      <c r="J117" s="66"/>
      <c r="K117" s="66"/>
      <c r="L117" s="66"/>
      <c r="M117" s="1036"/>
      <c r="N117" s="1"/>
      <c r="O117" s="998"/>
      <c r="Q117" s="3446"/>
      <c r="R117" s="1122"/>
    </row>
    <row r="118" spans="1:19" ht="15" hidden="1" customHeight="1">
      <c r="A118" s="59"/>
      <c r="B118" s="66" t="s">
        <v>177</v>
      </c>
      <c r="C118" s="65" t="s">
        <v>189</v>
      </c>
      <c r="D118" s="66"/>
      <c r="E118" s="66"/>
      <c r="F118" s="66"/>
      <c r="G118" s="66"/>
      <c r="H118" s="66"/>
      <c r="I118" s="66">
        <f t="shared" si="42"/>
        <v>0</v>
      </c>
      <c r="J118" s="66"/>
      <c r="K118" s="66"/>
      <c r="L118" s="66"/>
      <c r="M118" s="1036"/>
      <c r="N118" s="1"/>
      <c r="O118" s="998"/>
      <c r="Q118" s="3446"/>
      <c r="R118" s="1122"/>
    </row>
    <row r="119" spans="1:19" ht="15" hidden="1" customHeight="1">
      <c r="A119" s="59"/>
      <c r="B119" s="66" t="s">
        <v>179</v>
      </c>
      <c r="C119" s="65" t="s">
        <v>189</v>
      </c>
      <c r="D119" s="66"/>
      <c r="E119" s="66"/>
      <c r="F119" s="66"/>
      <c r="G119" s="66"/>
      <c r="H119" s="66"/>
      <c r="I119" s="66">
        <f t="shared" si="42"/>
        <v>0</v>
      </c>
      <c r="J119" s="66"/>
      <c r="K119" s="66"/>
      <c r="L119" s="66"/>
      <c r="M119" s="1036"/>
      <c r="N119" s="1"/>
      <c r="O119" s="998"/>
      <c r="Q119" s="3446"/>
      <c r="R119" s="1122"/>
    </row>
    <row r="120" spans="1:19" ht="15" hidden="1" customHeight="1">
      <c r="A120" s="59"/>
      <c r="B120" s="66" t="s">
        <v>180</v>
      </c>
      <c r="C120" s="65" t="s">
        <v>189</v>
      </c>
      <c r="D120" s="66"/>
      <c r="E120" s="66"/>
      <c r="F120" s="66"/>
      <c r="G120" s="66"/>
      <c r="H120" s="66"/>
      <c r="I120" s="66">
        <f t="shared" si="42"/>
        <v>0</v>
      </c>
      <c r="J120" s="66"/>
      <c r="K120" s="66"/>
      <c r="L120" s="66"/>
      <c r="M120" s="1036"/>
      <c r="N120" s="1"/>
      <c r="O120" s="998"/>
      <c r="Q120" s="3446"/>
      <c r="R120" s="1122"/>
    </row>
    <row r="121" spans="1:19" ht="15" hidden="1" customHeight="1">
      <c r="A121" s="59"/>
      <c r="B121" s="66" t="s">
        <v>182</v>
      </c>
      <c r="C121" s="65" t="s">
        <v>189</v>
      </c>
      <c r="D121" s="66"/>
      <c r="E121" s="66"/>
      <c r="F121" s="66"/>
      <c r="G121" s="66"/>
      <c r="H121" s="66"/>
      <c r="I121" s="66">
        <f t="shared" si="42"/>
        <v>0</v>
      </c>
      <c r="J121" s="66"/>
      <c r="K121" s="66"/>
      <c r="L121" s="66"/>
      <c r="M121" s="1036"/>
      <c r="N121" s="1"/>
      <c r="O121" s="998"/>
      <c r="Q121" s="3446"/>
      <c r="R121" s="1122"/>
    </row>
    <row r="122" spans="1:19" ht="15" hidden="1" customHeight="1">
      <c r="A122" s="59"/>
      <c r="B122" s="66" t="s">
        <v>188</v>
      </c>
      <c r="C122" s="65" t="s">
        <v>189</v>
      </c>
      <c r="D122" s="66"/>
      <c r="E122" s="66"/>
      <c r="F122" s="66"/>
      <c r="G122" s="66"/>
      <c r="H122" s="66"/>
      <c r="I122" s="66">
        <f t="shared" si="42"/>
        <v>0</v>
      </c>
      <c r="J122" s="66"/>
      <c r="K122" s="66"/>
      <c r="L122" s="66"/>
      <c r="M122" s="1036"/>
      <c r="N122" s="1"/>
      <c r="O122" s="998"/>
      <c r="Q122" s="3446"/>
      <c r="R122" s="1122"/>
    </row>
    <row r="123" spans="1:19" ht="15" hidden="1" customHeight="1">
      <c r="A123" s="59"/>
      <c r="B123" s="70" t="s">
        <v>190</v>
      </c>
      <c r="C123" s="71" t="s">
        <v>178</v>
      </c>
      <c r="D123" s="70"/>
      <c r="E123" s="70">
        <f t="shared" ref="E123" si="44">E124+E125+E126+E127+E128</f>
        <v>0</v>
      </c>
      <c r="F123" s="70"/>
      <c r="G123" s="70"/>
      <c r="H123" s="70"/>
      <c r="I123" s="70">
        <f t="shared" si="42"/>
        <v>0</v>
      </c>
      <c r="J123" s="70"/>
      <c r="K123" s="70"/>
      <c r="L123" s="70"/>
      <c r="M123" s="1036"/>
      <c r="N123" s="1"/>
      <c r="O123" s="998"/>
      <c r="Q123" s="3446"/>
      <c r="R123" s="1122"/>
    </row>
    <row r="124" spans="1:19" ht="15" hidden="1" customHeight="1">
      <c r="A124" s="59"/>
      <c r="B124" s="70" t="s">
        <v>177</v>
      </c>
      <c r="C124" s="71" t="s">
        <v>178</v>
      </c>
      <c r="D124" s="70"/>
      <c r="E124" s="70"/>
      <c r="F124" s="70"/>
      <c r="G124" s="70"/>
      <c r="H124" s="70"/>
      <c r="I124" s="70">
        <f t="shared" si="42"/>
        <v>0</v>
      </c>
      <c r="J124" s="70"/>
      <c r="K124" s="70"/>
      <c r="L124" s="70"/>
      <c r="M124" s="1036"/>
      <c r="N124" s="1"/>
      <c r="O124" s="998"/>
      <c r="Q124" s="3446"/>
      <c r="R124" s="1122"/>
    </row>
    <row r="125" spans="1:19" ht="15" hidden="1" customHeight="1">
      <c r="A125" s="59"/>
      <c r="B125" s="70" t="s">
        <v>179</v>
      </c>
      <c r="C125" s="71" t="s">
        <v>178</v>
      </c>
      <c r="D125" s="70"/>
      <c r="E125" s="70"/>
      <c r="F125" s="70"/>
      <c r="G125" s="70"/>
      <c r="H125" s="70"/>
      <c r="I125" s="70">
        <f t="shared" si="42"/>
        <v>0</v>
      </c>
      <c r="J125" s="70"/>
      <c r="K125" s="70"/>
      <c r="L125" s="70"/>
      <c r="M125" s="1036"/>
      <c r="N125" s="1"/>
      <c r="O125" s="998"/>
      <c r="Q125" s="3446"/>
      <c r="R125" s="1122"/>
    </row>
    <row r="126" spans="1:19" ht="15" hidden="1" customHeight="1">
      <c r="A126" s="59"/>
      <c r="B126" s="70" t="s">
        <v>180</v>
      </c>
      <c r="C126" s="71" t="s">
        <v>178</v>
      </c>
      <c r="D126" s="70"/>
      <c r="E126" s="70"/>
      <c r="F126" s="70"/>
      <c r="G126" s="70"/>
      <c r="H126" s="70"/>
      <c r="I126" s="70">
        <f t="shared" si="42"/>
        <v>0</v>
      </c>
      <c r="J126" s="70"/>
      <c r="K126" s="70"/>
      <c r="L126" s="70"/>
      <c r="M126" s="1036"/>
      <c r="N126" s="1"/>
      <c r="O126" s="998"/>
      <c r="Q126" s="3446"/>
      <c r="R126" s="1122"/>
    </row>
    <row r="127" spans="1:19" ht="15" hidden="1" customHeight="1">
      <c r="A127" s="59"/>
      <c r="B127" s="70" t="s">
        <v>182</v>
      </c>
      <c r="C127" s="71" t="s">
        <v>178</v>
      </c>
      <c r="D127" s="70"/>
      <c r="E127" s="70"/>
      <c r="F127" s="70"/>
      <c r="G127" s="70"/>
      <c r="H127" s="70"/>
      <c r="I127" s="70">
        <f t="shared" si="42"/>
        <v>0</v>
      </c>
      <c r="J127" s="70"/>
      <c r="K127" s="70"/>
      <c r="L127" s="70"/>
      <c r="M127" s="1036"/>
      <c r="N127" s="1"/>
      <c r="O127" s="998"/>
      <c r="Q127" s="3446"/>
      <c r="R127" s="1122"/>
    </row>
    <row r="128" spans="1:19" ht="15" hidden="1" customHeight="1">
      <c r="A128" s="59"/>
      <c r="B128" s="70" t="s">
        <v>188</v>
      </c>
      <c r="C128" s="71" t="s">
        <v>189</v>
      </c>
      <c r="D128" s="70"/>
      <c r="E128" s="70"/>
      <c r="F128" s="70"/>
      <c r="G128" s="70"/>
      <c r="H128" s="70"/>
      <c r="I128" s="70">
        <f t="shared" si="42"/>
        <v>0</v>
      </c>
      <c r="J128" s="70"/>
      <c r="K128" s="70"/>
      <c r="L128" s="70"/>
      <c r="M128" s="1036"/>
      <c r="N128" s="1"/>
      <c r="O128" s="998"/>
      <c r="Q128" s="3446"/>
      <c r="R128" s="1122"/>
    </row>
    <row r="129" spans="1:19" ht="19.5" customHeight="1" thickBot="1">
      <c r="A129" s="59"/>
      <c r="B129" s="82" t="s">
        <v>196</v>
      </c>
      <c r="C129" s="83"/>
      <c r="D129" s="84"/>
      <c r="E129" s="84"/>
      <c r="F129" s="84"/>
      <c r="G129" s="84"/>
      <c r="H129" s="84"/>
      <c r="I129" s="84"/>
      <c r="J129" s="84"/>
      <c r="K129" s="84"/>
      <c r="L129" s="84"/>
      <c r="M129" s="2549"/>
      <c r="N129" s="84"/>
      <c r="O129" s="1019"/>
      <c r="Q129" s="3447"/>
      <c r="R129" s="2600">
        <f>SUM(R105:R114)</f>
        <v>31090.799999999999</v>
      </c>
      <c r="S129" s="2600">
        <f>SUM(S105:S114)</f>
        <v>82070.300000000017</v>
      </c>
    </row>
    <row r="130" spans="1:19" ht="18" customHeight="1" thickBot="1">
      <c r="A130" s="59"/>
      <c r="B130" s="84" t="s">
        <v>177</v>
      </c>
      <c r="C130" s="89" t="s">
        <v>198</v>
      </c>
      <c r="D130" s="425">
        <f>(3.88+3.7767)/2</f>
        <v>3.8283499999999999</v>
      </c>
      <c r="E130" s="425">
        <v>3.8109999999999999</v>
      </c>
      <c r="F130" s="425">
        <v>4.1691000000000003</v>
      </c>
      <c r="G130" s="425">
        <v>3.8155100000000002</v>
      </c>
      <c r="H130" s="425">
        <f>2181.2/571.65</f>
        <v>3.8156214466894078</v>
      </c>
      <c r="I130" s="425">
        <f>4737.9/I112</f>
        <v>4.1238576029245362</v>
      </c>
      <c r="J130" s="425">
        <f>6528.509/J112</f>
        <v>4.4330203028451143</v>
      </c>
      <c r="K130" s="425">
        <f>6874.52/1472.7</f>
        <v>4.6679703945134792</v>
      </c>
      <c r="L130" s="425">
        <f>7238.87/L112</f>
        <v>4.9153731241936578</v>
      </c>
      <c r="M130" s="2556">
        <f>H130*1.078</f>
        <v>4.113239919531182</v>
      </c>
      <c r="N130" s="2557">
        <f>M130*1.066</f>
        <v>4.3847137542202406</v>
      </c>
      <c r="O130" s="2558">
        <f>N130*1.067</f>
        <v>4.6784895757529963</v>
      </c>
    </row>
    <row r="131" spans="1:19" ht="17.25" customHeight="1" thickBot="1">
      <c r="A131" s="59"/>
      <c r="B131" s="84" t="s">
        <v>179</v>
      </c>
      <c r="C131" s="89" t="s">
        <v>198</v>
      </c>
      <c r="D131" s="425">
        <f>(2.66+2.657)/2</f>
        <v>2.6585000000000001</v>
      </c>
      <c r="E131" s="425">
        <v>2.7877999999999998</v>
      </c>
      <c r="F131" s="425">
        <v>3.0954999999999999</v>
      </c>
      <c r="G131" s="425">
        <v>2.7871000000000001</v>
      </c>
      <c r="H131" s="425">
        <f>40936.7/14462.8</f>
        <v>2.8304823409021767</v>
      </c>
      <c r="I131" s="425">
        <f>90904/I113</f>
        <v>3.0420785618194106</v>
      </c>
      <c r="J131" s="425">
        <f>92975.3/29864.2</f>
        <v>3.1132693994816538</v>
      </c>
      <c r="K131" s="425">
        <f>97902.991/K113</f>
        <v>3.2782726810026719</v>
      </c>
      <c r="L131" s="425">
        <f>103091.85/L113</f>
        <v>3.452021149068115</v>
      </c>
      <c r="M131" s="2556">
        <f>H131*1.078</f>
        <v>3.0512599634925466</v>
      </c>
      <c r="N131" s="2557">
        <f>M131*1.066</f>
        <v>3.2526431210830546</v>
      </c>
      <c r="O131" s="2558">
        <f>N131*1.067</f>
        <v>3.4705702101956191</v>
      </c>
      <c r="Q131" t="s">
        <v>1650</v>
      </c>
      <c r="R131" s="2602">
        <v>319.60000000000002</v>
      </c>
      <c r="S131" s="2602">
        <v>835.9</v>
      </c>
    </row>
    <row r="132" spans="1:19" hidden="1">
      <c r="A132" s="59"/>
      <c r="B132" s="84" t="s">
        <v>180</v>
      </c>
      <c r="C132" s="89" t="s">
        <v>198</v>
      </c>
      <c r="D132" s="84"/>
      <c r="E132" s="84"/>
      <c r="F132" s="84"/>
      <c r="G132" s="84"/>
      <c r="H132" s="84"/>
      <c r="I132" s="84">
        <f t="shared" si="42"/>
        <v>0</v>
      </c>
      <c r="J132" s="84"/>
      <c r="K132" s="84"/>
      <c r="L132" s="84"/>
      <c r="M132" s="1036"/>
      <c r="N132" s="1"/>
      <c r="O132" s="998"/>
    </row>
    <row r="133" spans="1:19" hidden="1">
      <c r="A133" s="59"/>
      <c r="B133" s="84" t="s">
        <v>182</v>
      </c>
      <c r="C133" s="89" t="s">
        <v>198</v>
      </c>
      <c r="D133" s="84"/>
      <c r="E133" s="84"/>
      <c r="F133" s="84"/>
      <c r="G133" s="84"/>
      <c r="H133" s="84"/>
      <c r="I133" s="84">
        <f t="shared" si="42"/>
        <v>0</v>
      </c>
      <c r="J133" s="84"/>
      <c r="K133" s="84"/>
      <c r="L133" s="84"/>
      <c r="M133" s="1036"/>
      <c r="N133" s="1"/>
      <c r="O133" s="998"/>
    </row>
    <row r="134" spans="1:19" ht="30" hidden="1">
      <c r="A134" s="59"/>
      <c r="B134" s="83" t="s">
        <v>227</v>
      </c>
      <c r="C134" s="89" t="s">
        <v>198</v>
      </c>
      <c r="D134" s="84"/>
      <c r="E134" s="84"/>
      <c r="F134" s="84"/>
      <c r="G134" s="84"/>
      <c r="H134" s="84"/>
      <c r="I134" s="84">
        <f t="shared" si="42"/>
        <v>0</v>
      </c>
      <c r="J134" s="84"/>
      <c r="K134" s="84"/>
      <c r="L134" s="84"/>
      <c r="M134" s="1036"/>
      <c r="N134" s="1"/>
      <c r="O134" s="998"/>
    </row>
    <row r="135" spans="1:19" ht="30" hidden="1">
      <c r="A135" s="59"/>
      <c r="B135" s="83" t="s">
        <v>204</v>
      </c>
      <c r="C135" s="89" t="s">
        <v>198</v>
      </c>
      <c r="D135" s="84"/>
      <c r="E135" s="84"/>
      <c r="F135" s="84"/>
      <c r="G135" s="84"/>
      <c r="H135" s="84"/>
      <c r="I135" s="84">
        <f t="shared" si="42"/>
        <v>0</v>
      </c>
      <c r="J135" s="84"/>
      <c r="K135" s="84"/>
      <c r="L135" s="84"/>
      <c r="M135" s="1036"/>
      <c r="N135" s="1"/>
      <c r="O135" s="998"/>
    </row>
    <row r="136" spans="1:19" hidden="1">
      <c r="A136" s="59"/>
      <c r="B136" s="40" t="s">
        <v>205</v>
      </c>
      <c r="C136" s="90"/>
      <c r="D136" s="40"/>
      <c r="E136" s="40"/>
      <c r="F136" s="40"/>
      <c r="G136" s="40"/>
      <c r="H136" s="40"/>
      <c r="I136" s="40">
        <f t="shared" si="42"/>
        <v>0</v>
      </c>
      <c r="J136" s="40"/>
      <c r="K136" s="40"/>
      <c r="L136" s="40"/>
      <c r="M136" s="1036"/>
      <c r="N136" s="1"/>
      <c r="O136" s="998"/>
    </row>
    <row r="137" spans="1:19" ht="30" hidden="1">
      <c r="A137" s="59"/>
      <c r="B137" s="73" t="s">
        <v>207</v>
      </c>
      <c r="C137" s="91" t="s">
        <v>208</v>
      </c>
      <c r="D137" s="40"/>
      <c r="E137" s="40"/>
      <c r="F137" s="40"/>
      <c r="G137" s="40"/>
      <c r="H137" s="40"/>
      <c r="I137" s="40">
        <f t="shared" si="42"/>
        <v>0</v>
      </c>
      <c r="J137" s="40"/>
      <c r="K137" s="40"/>
      <c r="L137" s="40"/>
      <c r="M137" s="1036"/>
      <c r="N137" s="1"/>
      <c r="O137" s="998"/>
    </row>
    <row r="138" spans="1:19" ht="30" hidden="1">
      <c r="A138" s="59"/>
      <c r="B138" s="73" t="s">
        <v>177</v>
      </c>
      <c r="C138" s="91" t="s">
        <v>208</v>
      </c>
      <c r="D138" s="40"/>
      <c r="E138" s="40"/>
      <c r="F138" s="40"/>
      <c r="G138" s="40"/>
      <c r="H138" s="40"/>
      <c r="I138" s="40">
        <f t="shared" si="42"/>
        <v>0</v>
      </c>
      <c r="J138" s="40"/>
      <c r="K138" s="40"/>
      <c r="L138" s="40"/>
      <c r="M138" s="1036"/>
      <c r="N138" s="1"/>
      <c r="O138" s="998"/>
    </row>
    <row r="139" spans="1:19" ht="30" hidden="1">
      <c r="A139" s="59"/>
      <c r="B139" s="73" t="s">
        <v>179</v>
      </c>
      <c r="C139" s="91" t="s">
        <v>208</v>
      </c>
      <c r="D139" s="40"/>
      <c r="E139" s="40"/>
      <c r="F139" s="40"/>
      <c r="G139" s="40"/>
      <c r="H139" s="40"/>
      <c r="I139" s="40">
        <f t="shared" si="42"/>
        <v>0</v>
      </c>
      <c r="J139" s="40"/>
      <c r="K139" s="40"/>
      <c r="L139" s="40"/>
      <c r="M139" s="1036"/>
      <c r="N139" s="1"/>
      <c r="O139" s="998"/>
    </row>
    <row r="140" spans="1:19" ht="30" hidden="1">
      <c r="A140" s="59"/>
      <c r="B140" s="73" t="s">
        <v>180</v>
      </c>
      <c r="C140" s="91" t="s">
        <v>208</v>
      </c>
      <c r="D140" s="40"/>
      <c r="E140" s="40"/>
      <c r="F140" s="40"/>
      <c r="G140" s="40"/>
      <c r="H140" s="40"/>
      <c r="I140" s="40">
        <f t="shared" si="42"/>
        <v>0</v>
      </c>
      <c r="J140" s="40"/>
      <c r="K140" s="40"/>
      <c r="L140" s="40"/>
      <c r="M140" s="1036"/>
      <c r="N140" s="1"/>
      <c r="O140" s="998"/>
    </row>
    <row r="141" spans="1:19" ht="30" hidden="1">
      <c r="A141" s="59"/>
      <c r="B141" s="73" t="s">
        <v>182</v>
      </c>
      <c r="C141" s="91" t="s">
        <v>208</v>
      </c>
      <c r="D141" s="40"/>
      <c r="E141" s="40"/>
      <c r="F141" s="40"/>
      <c r="G141" s="40"/>
      <c r="H141" s="40"/>
      <c r="I141" s="40">
        <f t="shared" si="42"/>
        <v>0</v>
      </c>
      <c r="J141" s="40"/>
      <c r="K141" s="40"/>
      <c r="L141" s="40"/>
      <c r="M141" s="1036"/>
      <c r="N141" s="1"/>
      <c r="O141" s="998"/>
    </row>
    <row r="142" spans="1:19" ht="30" hidden="1">
      <c r="A142" s="59"/>
      <c r="B142" s="73" t="s">
        <v>188</v>
      </c>
      <c r="C142" s="91" t="s">
        <v>208</v>
      </c>
      <c r="D142" s="40"/>
      <c r="E142" s="40"/>
      <c r="F142" s="40"/>
      <c r="G142" s="40"/>
      <c r="H142" s="40"/>
      <c r="I142" s="40">
        <f t="shared" si="42"/>
        <v>0</v>
      </c>
      <c r="J142" s="40"/>
      <c r="K142" s="40"/>
      <c r="L142" s="40"/>
      <c r="M142" s="1036"/>
      <c r="N142" s="1"/>
      <c r="O142" s="998"/>
    </row>
    <row r="143" spans="1:19" ht="30" hidden="1">
      <c r="A143" s="59"/>
      <c r="B143" s="73" t="s">
        <v>215</v>
      </c>
      <c r="C143" s="91" t="s">
        <v>208</v>
      </c>
      <c r="D143" s="40"/>
      <c r="E143" s="40">
        <f t="shared" ref="E143" si="45">E144+E145+E146+E147+E148</f>
        <v>0</v>
      </c>
      <c r="F143" s="40"/>
      <c r="G143" s="40"/>
      <c r="H143" s="40"/>
      <c r="I143" s="40">
        <f t="shared" si="42"/>
        <v>0</v>
      </c>
      <c r="J143" s="40"/>
      <c r="K143" s="40"/>
      <c r="L143" s="40"/>
      <c r="M143" s="1036"/>
      <c r="N143" s="1"/>
      <c r="O143" s="998"/>
    </row>
    <row r="144" spans="1:19" ht="30" hidden="1">
      <c r="A144" s="59"/>
      <c r="B144" s="73" t="s">
        <v>177</v>
      </c>
      <c r="C144" s="91" t="s">
        <v>208</v>
      </c>
      <c r="D144" s="40"/>
      <c r="E144" s="40">
        <f t="shared" ref="E144:E145" si="46">E124*E138</f>
        <v>0</v>
      </c>
      <c r="F144" s="40"/>
      <c r="G144" s="40"/>
      <c r="H144" s="40"/>
      <c r="I144" s="40">
        <f t="shared" si="42"/>
        <v>0</v>
      </c>
      <c r="J144" s="40"/>
      <c r="K144" s="40"/>
      <c r="L144" s="40"/>
      <c r="M144" s="1036"/>
      <c r="N144" s="1"/>
      <c r="O144" s="998"/>
    </row>
    <row r="145" spans="1:19" ht="30" hidden="1">
      <c r="A145" s="59"/>
      <c r="B145" s="73" t="s">
        <v>179</v>
      </c>
      <c r="C145" s="91" t="s">
        <v>208</v>
      </c>
      <c r="D145" s="40"/>
      <c r="E145" s="40">
        <f t="shared" si="46"/>
        <v>0</v>
      </c>
      <c r="F145" s="40"/>
      <c r="G145" s="40"/>
      <c r="H145" s="40"/>
      <c r="I145" s="40">
        <f t="shared" si="42"/>
        <v>0</v>
      </c>
      <c r="J145" s="40"/>
      <c r="K145" s="40"/>
      <c r="L145" s="40"/>
      <c r="M145" s="1036"/>
      <c r="N145" s="1"/>
      <c r="O145" s="998"/>
    </row>
    <row r="146" spans="1:19" ht="30" hidden="1">
      <c r="A146" s="59"/>
      <c r="B146" s="73" t="s">
        <v>180</v>
      </c>
      <c r="C146" s="91" t="s">
        <v>208</v>
      </c>
      <c r="D146" s="40"/>
      <c r="E146" s="40"/>
      <c r="F146" s="40"/>
      <c r="G146" s="40"/>
      <c r="H146" s="40"/>
      <c r="I146" s="40">
        <f t="shared" si="42"/>
        <v>0</v>
      </c>
      <c r="J146" s="40"/>
      <c r="K146" s="40"/>
      <c r="L146" s="40"/>
      <c r="M146" s="1036"/>
      <c r="N146" s="1"/>
      <c r="O146" s="998"/>
    </row>
    <row r="147" spans="1:19" ht="30" hidden="1">
      <c r="A147" s="59"/>
      <c r="B147" s="73" t="s">
        <v>182</v>
      </c>
      <c r="C147" s="91" t="s">
        <v>208</v>
      </c>
      <c r="D147" s="40"/>
      <c r="E147" s="40"/>
      <c r="F147" s="40"/>
      <c r="G147" s="40"/>
      <c r="H147" s="40"/>
      <c r="I147" s="40">
        <f t="shared" si="42"/>
        <v>0</v>
      </c>
      <c r="J147" s="40"/>
      <c r="K147" s="40"/>
      <c r="L147" s="40"/>
      <c r="M147" s="1036"/>
      <c r="N147" s="1"/>
      <c r="O147" s="998"/>
    </row>
    <row r="148" spans="1:19" ht="30" hidden="1">
      <c r="A148" s="59"/>
      <c r="B148" s="73" t="s">
        <v>188</v>
      </c>
      <c r="C148" s="91" t="s">
        <v>208</v>
      </c>
      <c r="D148" s="40"/>
      <c r="E148" s="40"/>
      <c r="F148" s="40"/>
      <c r="G148" s="40"/>
      <c r="H148" s="40"/>
      <c r="I148" s="40">
        <f t="shared" si="42"/>
        <v>0</v>
      </c>
      <c r="J148" s="40"/>
      <c r="K148" s="40"/>
      <c r="L148" s="40"/>
      <c r="M148" s="1036"/>
      <c r="N148" s="1"/>
      <c r="O148" s="998"/>
    </row>
    <row r="149" spans="1:19">
      <c r="A149" s="59"/>
      <c r="B149" s="2552" t="s">
        <v>222</v>
      </c>
      <c r="C149" s="2553" t="s">
        <v>11</v>
      </c>
      <c r="D149" s="2554">
        <f t="shared" ref="D149" si="47">((D112*D130)+(D113*D131)+(D114*D132)+(D115*D133))</f>
        <v>89285.526450799996</v>
      </c>
      <c r="E149" s="2554">
        <f>((E112*E130)+(E113*E131)+(E114*E132)+(E115*E133))</f>
        <v>85452.684260000009</v>
      </c>
      <c r="F149" s="2554">
        <f>((F112*F130)+(F113*F131)+(F114*F132)+(F115*F133))-0.6</f>
        <v>99221.139540000004</v>
      </c>
      <c r="G149" s="2554">
        <f t="shared" ref="G149:H149" si="48">((G112*G130)+(G113*G131)+(G114*G132)+(G115*G133))</f>
        <v>85402.459593000007</v>
      </c>
      <c r="H149" s="2554">
        <f t="shared" si="48"/>
        <v>43117.899999999994</v>
      </c>
      <c r="I149" s="2554">
        <f>90904+4737.9</f>
        <v>95641.9</v>
      </c>
      <c r="J149" s="2554">
        <f>((J112*J130)+(J113*J131)+(J114*J132)+(J115*J133))</f>
        <v>99503.809000000008</v>
      </c>
      <c r="K149" s="2554">
        <f t="shared" ref="K149:L149" si="49">((K112*K130)+(K113*K131)+(K114*K132)+(K115*K133))</f>
        <v>104777.511</v>
      </c>
      <c r="L149" s="2554">
        <f t="shared" si="49"/>
        <v>110330.72</v>
      </c>
      <c r="M149" s="2554">
        <f t="shared" ref="M149:O149" si="50">((M112*M130)+(M113*M131)+(M114*M132)+(M115*M133))</f>
        <v>96985.115341571465</v>
      </c>
      <c r="N149" s="2554">
        <f t="shared" si="50"/>
        <v>103386.13295411518</v>
      </c>
      <c r="O149" s="2554">
        <f t="shared" si="50"/>
        <v>110313.00386204089</v>
      </c>
    </row>
    <row r="150" spans="1:19" ht="15.75" thickBot="1">
      <c r="A150" s="59"/>
      <c r="B150" s="74" t="s">
        <v>223</v>
      </c>
      <c r="C150" s="63" t="s">
        <v>11</v>
      </c>
      <c r="D150" s="408"/>
      <c r="E150" s="408"/>
      <c r="F150" s="408"/>
      <c r="G150" s="408"/>
      <c r="H150" s="408"/>
      <c r="I150" s="408"/>
      <c r="J150" s="408"/>
      <c r="K150" s="62"/>
      <c r="L150" s="62"/>
      <c r="M150" s="1036"/>
      <c r="N150" s="1"/>
      <c r="O150" s="998"/>
      <c r="Q150" s="3448" t="s">
        <v>1651</v>
      </c>
    </row>
    <row r="151" spans="1:19">
      <c r="A151" s="59"/>
      <c r="B151" s="72" t="s">
        <v>224</v>
      </c>
      <c r="C151" s="85" t="s">
        <v>11</v>
      </c>
      <c r="D151" s="426">
        <f t="shared" ref="D151:O151" si="51">D149+D150</f>
        <v>89285.526450799996</v>
      </c>
      <c r="E151" s="426">
        <f t="shared" si="51"/>
        <v>85452.684260000009</v>
      </c>
      <c r="F151" s="426">
        <f t="shared" si="51"/>
        <v>99221.139540000004</v>
      </c>
      <c r="G151" s="426">
        <f t="shared" si="51"/>
        <v>85402.459593000007</v>
      </c>
      <c r="H151" s="426">
        <f t="shared" si="51"/>
        <v>43117.899999999994</v>
      </c>
      <c r="I151" s="426">
        <f t="shared" si="51"/>
        <v>95641.9</v>
      </c>
      <c r="J151" s="426">
        <f t="shared" si="51"/>
        <v>99503.809000000008</v>
      </c>
      <c r="K151" s="426">
        <f t="shared" si="51"/>
        <v>104777.511</v>
      </c>
      <c r="L151" s="426">
        <f t="shared" si="51"/>
        <v>110330.72</v>
      </c>
      <c r="M151" s="426">
        <f t="shared" si="51"/>
        <v>96985.115341571465</v>
      </c>
      <c r="N151" s="426">
        <f t="shared" si="51"/>
        <v>103386.13295411518</v>
      </c>
      <c r="O151" s="426">
        <f t="shared" si="51"/>
        <v>110313.00386204089</v>
      </c>
      <c r="Q151" s="3448"/>
      <c r="R151" s="2601">
        <v>41.9</v>
      </c>
      <c r="S151" s="2601">
        <v>163</v>
      </c>
    </row>
    <row r="152" spans="1:19">
      <c r="A152" s="59"/>
      <c r="B152" s="1" t="s">
        <v>173</v>
      </c>
      <c r="C152" s="92"/>
      <c r="D152" s="416"/>
      <c r="E152" s="416"/>
      <c r="F152" s="416"/>
      <c r="G152" s="416"/>
      <c r="H152" s="416"/>
      <c r="I152" s="416"/>
      <c r="J152" s="416"/>
      <c r="K152" s="1"/>
      <c r="L152" s="1"/>
      <c r="M152" s="1036"/>
      <c r="N152" s="1"/>
      <c r="O152" s="998"/>
      <c r="Q152" s="3448"/>
      <c r="R152" s="2599">
        <v>486.8</v>
      </c>
      <c r="S152" s="2599">
        <v>1892</v>
      </c>
    </row>
    <row r="153" spans="1:19" ht="15.75" thickBot="1">
      <c r="A153" s="59"/>
      <c r="B153" s="27" t="s">
        <v>173</v>
      </c>
      <c r="C153" s="93"/>
      <c r="D153" s="427"/>
      <c r="E153" s="427"/>
      <c r="F153" s="427"/>
      <c r="G153" s="427"/>
      <c r="H153" s="427"/>
      <c r="I153" s="427"/>
      <c r="J153" s="427"/>
      <c r="K153" s="27"/>
      <c r="L153" s="27"/>
      <c r="M153" s="1036"/>
      <c r="N153" s="1"/>
      <c r="O153" s="998"/>
      <c r="R153" s="2598">
        <f>R151+R152</f>
        <v>528.70000000000005</v>
      </c>
      <c r="S153" s="2598">
        <f>S151+S152</f>
        <v>2055</v>
      </c>
    </row>
    <row r="154" spans="1:19" ht="15.75" thickBot="1">
      <c r="A154" s="59"/>
      <c r="B154" s="78" t="s">
        <v>157</v>
      </c>
      <c r="C154" s="95"/>
      <c r="D154" s="430">
        <f>D151</f>
        <v>89285.526450799996</v>
      </c>
      <c r="E154" s="430">
        <f>E151+E152+E153</f>
        <v>85452.684260000009</v>
      </c>
      <c r="F154" s="430">
        <f>F151+F152+F153</f>
        <v>99221.139540000004</v>
      </c>
      <c r="G154" s="430">
        <f>G151+G152+G153</f>
        <v>85402.459593000007</v>
      </c>
      <c r="H154" s="430">
        <f t="shared" ref="H154:O154" si="52">H151+H152+H153</f>
        <v>43117.899999999994</v>
      </c>
      <c r="I154" s="430">
        <f t="shared" si="52"/>
        <v>95641.9</v>
      </c>
      <c r="J154" s="430">
        <f t="shared" si="52"/>
        <v>99503.809000000008</v>
      </c>
      <c r="K154" s="430">
        <f t="shared" si="52"/>
        <v>104777.511</v>
      </c>
      <c r="L154" s="430">
        <f t="shared" si="52"/>
        <v>110330.72</v>
      </c>
      <c r="M154" s="430">
        <f t="shared" si="52"/>
        <v>96985.115341571465</v>
      </c>
      <c r="N154" s="430">
        <f t="shared" si="52"/>
        <v>103386.13295411518</v>
      </c>
      <c r="O154" s="430">
        <f t="shared" si="52"/>
        <v>110313.00386204089</v>
      </c>
    </row>
    <row r="155" spans="1:19" ht="15.75" thickBot="1">
      <c r="A155" s="59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Q155" t="s">
        <v>1652</v>
      </c>
      <c r="R155" s="2602">
        <v>349.4</v>
      </c>
      <c r="S155" s="2602">
        <v>1313</v>
      </c>
    </row>
    <row r="156" spans="1:19" ht="15.75">
      <c r="A156" s="361"/>
      <c r="B156" s="362"/>
      <c r="C156" s="362"/>
      <c r="D156" s="362"/>
      <c r="E156" s="56"/>
      <c r="F156" s="56"/>
      <c r="J156" s="56"/>
    </row>
    <row r="157" spans="1:19">
      <c r="A157" s="55"/>
      <c r="F157" s="56" t="s">
        <v>230</v>
      </c>
      <c r="J157" s="56"/>
      <c r="Q157" t="s">
        <v>1653</v>
      </c>
      <c r="R157" s="2603">
        <f>R129+R131+R153+R155</f>
        <v>32288.5</v>
      </c>
      <c r="S157" s="2603">
        <f>S129+S131+S153+S155</f>
        <v>86274.200000000012</v>
      </c>
    </row>
    <row r="158" spans="1:19">
      <c r="A158" s="55"/>
      <c r="F158" s="56" t="s">
        <v>169</v>
      </c>
      <c r="J158" s="56"/>
    </row>
    <row r="159" spans="1:19">
      <c r="A159" s="55"/>
      <c r="F159" s="56" t="s">
        <v>294</v>
      </c>
      <c r="J159" s="56"/>
    </row>
    <row r="160" spans="1:19">
      <c r="A160" s="55"/>
      <c r="F160" s="56" t="s">
        <v>170</v>
      </c>
      <c r="J160" s="56"/>
    </row>
    <row r="161" spans="1:18">
      <c r="A161" s="55"/>
      <c r="F161" s="56"/>
      <c r="J161" s="56"/>
    </row>
    <row r="162" spans="1:18" ht="30" customHeight="1" thickBot="1">
      <c r="A162" s="59" t="s">
        <v>1798</v>
      </c>
      <c r="C162" s="1548"/>
      <c r="D162" s="1548"/>
      <c r="E162" s="1548"/>
      <c r="F162" s="1563"/>
      <c r="G162" s="1548"/>
      <c r="H162" s="1548"/>
      <c r="I162" s="1548"/>
      <c r="J162" s="1563"/>
      <c r="K162" s="1548"/>
      <c r="L162" s="1548"/>
      <c r="Q162" s="3435" t="s">
        <v>1658</v>
      </c>
      <c r="R162" s="3435"/>
    </row>
    <row r="163" spans="1:18" ht="15.75" thickBot="1">
      <c r="A163" s="3389" t="s">
        <v>0</v>
      </c>
      <c r="B163" s="3389" t="s">
        <v>1</v>
      </c>
      <c r="C163" s="3389" t="s">
        <v>2</v>
      </c>
      <c r="D163" s="3432" t="s">
        <v>165</v>
      </c>
      <c r="E163" s="3433"/>
      <c r="F163" s="3433"/>
      <c r="G163" s="3433"/>
      <c r="H163" s="3433"/>
      <c r="I163" s="3433"/>
      <c r="J163" s="3433"/>
      <c r="K163" s="1571"/>
      <c r="L163" s="1571"/>
      <c r="M163" s="3439" t="s">
        <v>1460</v>
      </c>
      <c r="N163" s="3440"/>
      <c r="O163" s="3441"/>
      <c r="Q163" s="1" t="s">
        <v>1656</v>
      </c>
      <c r="R163" s="1" t="s">
        <v>1657</v>
      </c>
    </row>
    <row r="164" spans="1:18" ht="15.75" customHeight="1" thickBot="1">
      <c r="A164" s="3401"/>
      <c r="B164" s="3401"/>
      <c r="C164" s="3401"/>
      <c r="D164" s="3458" t="s">
        <v>1153</v>
      </c>
      <c r="E164" s="3458"/>
      <c r="F164" s="3418">
        <v>2015</v>
      </c>
      <c r="G164" s="3419"/>
      <c r="H164" s="3389" t="s">
        <v>1375</v>
      </c>
      <c r="I164" s="3389" t="s">
        <v>1376</v>
      </c>
      <c r="J164" s="3389" t="s">
        <v>394</v>
      </c>
      <c r="K164" s="3389" t="s">
        <v>1154</v>
      </c>
      <c r="L164" s="3389" t="s">
        <v>1155</v>
      </c>
      <c r="M164" s="3442"/>
      <c r="N164" s="3443"/>
      <c r="O164" s="3444"/>
      <c r="Q164" s="1">
        <v>2780.1860000000001</v>
      </c>
      <c r="R164" s="2607">
        <v>3896</v>
      </c>
    </row>
    <row r="165" spans="1:18" ht="26.25" customHeight="1" thickBot="1">
      <c r="A165" s="3390"/>
      <c r="B165" s="3390"/>
      <c r="C165" s="3390"/>
      <c r="D165" s="1578" t="s">
        <v>5</v>
      </c>
      <c r="E165" s="4" t="s">
        <v>6</v>
      </c>
      <c r="F165" s="4" t="s">
        <v>1152</v>
      </c>
      <c r="G165" s="4" t="s">
        <v>8</v>
      </c>
      <c r="H165" s="3390"/>
      <c r="I165" s="3390"/>
      <c r="J165" s="3390"/>
      <c r="K165" s="3390"/>
      <c r="L165" s="3390"/>
      <c r="M165" s="2530">
        <v>2016</v>
      </c>
      <c r="N165" s="2530">
        <v>2017</v>
      </c>
      <c r="O165" s="2596">
        <v>2018</v>
      </c>
      <c r="Q165" s="178">
        <v>134.316</v>
      </c>
      <c r="R165" s="178">
        <v>185.5</v>
      </c>
    </row>
    <row r="166" spans="1:18">
      <c r="A166" s="3">
        <v>1</v>
      </c>
      <c r="B166" s="3">
        <v>2</v>
      </c>
      <c r="C166" s="3">
        <v>3</v>
      </c>
      <c r="D166" s="3">
        <v>4</v>
      </c>
      <c r="E166" s="3">
        <v>5</v>
      </c>
      <c r="F166" s="3">
        <v>6</v>
      </c>
      <c r="G166" s="3">
        <v>7</v>
      </c>
      <c r="H166" s="3"/>
      <c r="I166" s="3"/>
      <c r="J166" s="3">
        <v>8</v>
      </c>
      <c r="K166" s="26">
        <v>9</v>
      </c>
      <c r="L166" s="26">
        <v>10</v>
      </c>
      <c r="M166" s="2597"/>
      <c r="N166" s="2287"/>
      <c r="O166" s="2289"/>
      <c r="Q166" s="1">
        <v>213.077</v>
      </c>
      <c r="R166" s="1">
        <v>293.2</v>
      </c>
    </row>
    <row r="167" spans="1:18">
      <c r="A167" s="1" t="s">
        <v>172</v>
      </c>
      <c r="B167" s="34" t="s">
        <v>594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036"/>
      <c r="N167" s="1"/>
      <c r="O167" s="998"/>
      <c r="Q167" s="1">
        <v>308.50599999999997</v>
      </c>
      <c r="R167" s="1">
        <v>424</v>
      </c>
    </row>
    <row r="168" spans="1:18">
      <c r="A168" s="1037">
        <v>1</v>
      </c>
      <c r="B168" s="60" t="s">
        <v>1056</v>
      </c>
      <c r="C168" s="2" t="s">
        <v>231</v>
      </c>
      <c r="D168" s="416">
        <v>2972.16</v>
      </c>
      <c r="E168" s="416">
        <v>3762.71</v>
      </c>
      <c r="F168" s="416">
        <v>1951</v>
      </c>
      <c r="G168" s="512">
        <v>2966.67</v>
      </c>
      <c r="H168" s="512">
        <v>1899.49</v>
      </c>
      <c r="I168" s="512">
        <v>2980.84</v>
      </c>
      <c r="J168" s="416">
        <v>2252.5</v>
      </c>
      <c r="K168" s="416">
        <v>2252.5</v>
      </c>
      <c r="L168" s="416">
        <v>2252.5</v>
      </c>
      <c r="M168" s="2608">
        <f>J168</f>
        <v>2252.5</v>
      </c>
      <c r="N168" s="2609">
        <f>K168</f>
        <v>2252.5</v>
      </c>
      <c r="O168" s="2610">
        <f>L168</f>
        <v>2252.5</v>
      </c>
      <c r="Q168" s="1315">
        <f>SUM(Q164:Q167)</f>
        <v>3436.0849999999996</v>
      </c>
      <c r="R168" s="1315">
        <f>SUM(R164:R167)</f>
        <v>4798.7</v>
      </c>
    </row>
    <row r="169" spans="1:18">
      <c r="A169" s="1037">
        <v>2</v>
      </c>
      <c r="B169" s="1" t="s">
        <v>184</v>
      </c>
      <c r="C169" s="2" t="s">
        <v>232</v>
      </c>
      <c r="D169" s="1"/>
      <c r="E169" s="1"/>
      <c r="F169" s="1"/>
      <c r="G169" s="1135"/>
      <c r="H169" s="1135"/>
      <c r="I169" s="1135"/>
      <c r="J169" s="1"/>
      <c r="K169" s="1"/>
      <c r="L169" s="1"/>
      <c r="M169" s="1036"/>
      <c r="N169" s="1"/>
      <c r="O169" s="998"/>
    </row>
    <row r="170" spans="1:18" ht="15" customHeight="1">
      <c r="A170" s="1037">
        <v>3</v>
      </c>
      <c r="B170" s="1" t="s">
        <v>233</v>
      </c>
      <c r="C170" s="2" t="s">
        <v>234</v>
      </c>
      <c r="D170" s="416">
        <v>1206.6500000000001</v>
      </c>
      <c r="E170" s="416">
        <v>1339.34</v>
      </c>
      <c r="F170" s="416">
        <v>1391.7750000000001</v>
      </c>
      <c r="G170" s="512">
        <v>1476.78</v>
      </c>
      <c r="H170" s="512">
        <f>2627.95/1899.49*1000</f>
        <v>1383.5029402629127</v>
      </c>
      <c r="I170" s="512">
        <f>4391.75/2980.84*1000</f>
        <v>1473.3263107043651</v>
      </c>
      <c r="J170" s="416">
        <v>1589</v>
      </c>
      <c r="K170" s="416">
        <f>J170*1.043</f>
        <v>1657.3269999999998</v>
      </c>
      <c r="L170" s="416">
        <f>K170*1.043</f>
        <v>1728.5920609999996</v>
      </c>
      <c r="M170" s="2611">
        <f>1510*1.025</f>
        <v>1547.7499999999998</v>
      </c>
      <c r="N170" s="2612">
        <f>M170*1.03</f>
        <v>1594.1824999999999</v>
      </c>
      <c r="O170" s="2613">
        <f>N170*1.03</f>
        <v>1642.007975</v>
      </c>
      <c r="Q170">
        <f>R168/Q168</f>
        <v>1.396560329561114</v>
      </c>
    </row>
    <row r="171" spans="1:18" ht="27.75" customHeight="1">
      <c r="A171" s="1038">
        <v>4</v>
      </c>
      <c r="B171" s="60" t="s">
        <v>235</v>
      </c>
      <c r="C171" s="2" t="s">
        <v>236</v>
      </c>
      <c r="D171" s="1"/>
      <c r="E171" s="1"/>
      <c r="F171" s="1"/>
      <c r="G171" s="1135"/>
      <c r="H171" s="1135"/>
      <c r="I171" s="1135"/>
      <c r="J171" s="1"/>
      <c r="K171" s="1"/>
      <c r="L171" s="1"/>
      <c r="M171" s="1036"/>
      <c r="N171" s="1"/>
      <c r="O171" s="998"/>
    </row>
    <row r="172" spans="1:18">
      <c r="A172" s="1038">
        <v>5</v>
      </c>
      <c r="B172" s="60" t="s">
        <v>222</v>
      </c>
      <c r="C172" s="2" t="s">
        <v>11</v>
      </c>
      <c r="D172" s="416">
        <f>D168*D170/1000</f>
        <v>3586.3568639999999</v>
      </c>
      <c r="E172" s="416">
        <f>E168*E170/1000</f>
        <v>5039.5480114000002</v>
      </c>
      <c r="F172" s="416">
        <f>F168*F170/1000-0.03</f>
        <v>2715.3230250000001</v>
      </c>
      <c r="G172" s="512">
        <f>G168*G170/1000</f>
        <v>4381.1189226000006</v>
      </c>
      <c r="H172" s="512">
        <f>H168*H170/1000</f>
        <v>2627.95</v>
      </c>
      <c r="I172" s="512">
        <f>I168*I170/1000</f>
        <v>4391.75</v>
      </c>
      <c r="J172" s="416">
        <f t="shared" ref="J172:L172" si="53">J168*J170/1000</f>
        <v>3579.2224999999999</v>
      </c>
      <c r="K172" s="416">
        <f t="shared" si="53"/>
        <v>3733.1290674999996</v>
      </c>
      <c r="L172" s="416">
        <f t="shared" si="53"/>
        <v>3893.6536174024991</v>
      </c>
      <c r="M172" s="1604">
        <f t="shared" ref="M172:O172" si="54">M168*M170/1000</f>
        <v>3486.3068749999993</v>
      </c>
      <c r="N172" s="416">
        <f t="shared" si="54"/>
        <v>3590.89608125</v>
      </c>
      <c r="O172" s="1030">
        <f t="shared" si="54"/>
        <v>3698.6229636875</v>
      </c>
    </row>
    <row r="173" spans="1:18">
      <c r="A173" s="1038">
        <v>6</v>
      </c>
      <c r="B173" s="60" t="s">
        <v>223</v>
      </c>
      <c r="C173" s="2" t="s">
        <v>11</v>
      </c>
      <c r="D173" s="416">
        <f t="shared" ref="D173:J173" si="55">D169*D171</f>
        <v>0</v>
      </c>
      <c r="E173" s="416">
        <f t="shared" si="55"/>
        <v>0</v>
      </c>
      <c r="F173" s="416">
        <f t="shared" si="55"/>
        <v>0</v>
      </c>
      <c r="G173" s="512">
        <f t="shared" si="55"/>
        <v>0</v>
      </c>
      <c r="H173" s="512"/>
      <c r="I173" s="512"/>
      <c r="J173" s="416">
        <f t="shared" si="55"/>
        <v>0</v>
      </c>
      <c r="K173" s="416"/>
      <c r="L173" s="416"/>
      <c r="M173" s="1036"/>
      <c r="N173" s="1"/>
      <c r="O173" s="998"/>
    </row>
    <row r="174" spans="1:18" ht="15.75" thickBot="1">
      <c r="A174" s="1039">
        <v>7</v>
      </c>
      <c r="B174" s="72" t="s">
        <v>237</v>
      </c>
      <c r="C174" s="85" t="s">
        <v>11</v>
      </c>
      <c r="D174" s="426">
        <f t="shared" ref="D174:L174" si="56">D172+D173</f>
        <v>3586.3568639999999</v>
      </c>
      <c r="E174" s="426">
        <f t="shared" si="56"/>
        <v>5039.5480114000002</v>
      </c>
      <c r="F174" s="426">
        <f t="shared" si="56"/>
        <v>2715.3230250000001</v>
      </c>
      <c r="G174" s="1564">
        <f t="shared" si="56"/>
        <v>4381.1189226000006</v>
      </c>
      <c r="H174" s="1564">
        <f t="shared" si="56"/>
        <v>2627.95</v>
      </c>
      <c r="I174" s="1564">
        <f>I172+I173+0.01</f>
        <v>4391.76</v>
      </c>
      <c r="J174" s="426">
        <f t="shared" si="56"/>
        <v>3579.2224999999999</v>
      </c>
      <c r="K174" s="426">
        <f t="shared" si="56"/>
        <v>3733.1290674999996</v>
      </c>
      <c r="L174" s="426">
        <f t="shared" si="56"/>
        <v>3893.6536174024991</v>
      </c>
      <c r="M174" s="2614">
        <f>M172</f>
        <v>3486.3068749999993</v>
      </c>
      <c r="N174" s="426">
        <f t="shared" ref="N174:O174" si="57">N172</f>
        <v>3590.89608125</v>
      </c>
      <c r="O174" s="1029">
        <f t="shared" si="57"/>
        <v>3698.6229636875</v>
      </c>
    </row>
    <row r="175" spans="1:18" ht="15.75" hidden="1" thickBot="1">
      <c r="A175" s="1037" t="s">
        <v>225</v>
      </c>
      <c r="B175" s="1" t="s">
        <v>173</v>
      </c>
      <c r="C175" s="2"/>
      <c r="D175" s="1"/>
      <c r="E175" s="1"/>
      <c r="F175" s="1"/>
      <c r="G175" s="1"/>
      <c r="H175" s="1"/>
      <c r="I175" s="1"/>
      <c r="J175" s="1"/>
      <c r="K175" s="1481"/>
      <c r="L175" s="1481"/>
      <c r="M175" s="1036"/>
      <c r="N175" s="1"/>
      <c r="O175" s="998"/>
    </row>
    <row r="176" spans="1:18" ht="15.75" hidden="1" thickBot="1">
      <c r="A176" s="1040" t="s">
        <v>226</v>
      </c>
      <c r="B176" s="27" t="s">
        <v>173</v>
      </c>
      <c r="C176" s="93"/>
      <c r="D176" s="27"/>
      <c r="E176" s="27"/>
      <c r="F176" s="27"/>
      <c r="G176" s="27"/>
      <c r="H176" s="27"/>
      <c r="I176" s="27"/>
      <c r="J176" s="27"/>
      <c r="K176" s="1483"/>
      <c r="L176" s="1483"/>
      <c r="M176" s="1036"/>
      <c r="N176" s="1"/>
      <c r="O176" s="998"/>
    </row>
    <row r="177" spans="1:17" ht="15.75" thickBot="1">
      <c r="A177" s="78"/>
      <c r="B177" s="431" t="s">
        <v>157</v>
      </c>
      <c r="C177" s="432" t="s">
        <v>11</v>
      </c>
      <c r="D177" s="431">
        <f t="shared" ref="D177:O177" si="58">D174+D175+D176</f>
        <v>3586.3568639999999</v>
      </c>
      <c r="E177" s="431">
        <f t="shared" si="58"/>
        <v>5039.5480114000002</v>
      </c>
      <c r="F177" s="431">
        <f t="shared" si="58"/>
        <v>2715.3230250000001</v>
      </c>
      <c r="G177" s="431">
        <f t="shared" si="58"/>
        <v>4381.1189226000006</v>
      </c>
      <c r="H177" s="431">
        <f t="shared" si="58"/>
        <v>2627.95</v>
      </c>
      <c r="I177" s="431">
        <f t="shared" si="58"/>
        <v>4391.76</v>
      </c>
      <c r="J177" s="431">
        <f t="shared" si="58"/>
        <v>3579.2224999999999</v>
      </c>
      <c r="K177" s="431">
        <f t="shared" si="58"/>
        <v>3733.1290674999996</v>
      </c>
      <c r="L177" s="431">
        <f t="shared" si="58"/>
        <v>3893.6536174024991</v>
      </c>
      <c r="M177" s="2615">
        <f t="shared" si="58"/>
        <v>3486.3068749999993</v>
      </c>
      <c r="N177" s="431">
        <f t="shared" si="58"/>
        <v>3590.89608125</v>
      </c>
      <c r="O177" s="2616">
        <f t="shared" si="58"/>
        <v>3698.6229636875</v>
      </c>
    </row>
    <row r="179" spans="1:17" hidden="1">
      <c r="F179" s="3457" t="s">
        <v>238</v>
      </c>
      <c r="G179" s="3457"/>
      <c r="H179" s="3457"/>
      <c r="I179" s="3457"/>
      <c r="J179" s="3457"/>
    </row>
    <row r="180" spans="1:17" hidden="1">
      <c r="F180" s="3457" t="s">
        <v>169</v>
      </c>
      <c r="G180" s="3457"/>
      <c r="H180" s="3457"/>
      <c r="I180" s="3457"/>
      <c r="J180" s="3457"/>
    </row>
    <row r="181" spans="1:17" hidden="1">
      <c r="F181" s="58" t="s">
        <v>294</v>
      </c>
      <c r="G181" s="58"/>
      <c r="H181" s="58"/>
      <c r="I181" s="58"/>
      <c r="J181" s="58"/>
      <c r="Q181" t="s">
        <v>1659</v>
      </c>
    </row>
    <row r="182" spans="1:17" hidden="1">
      <c r="F182" s="3457" t="s">
        <v>170</v>
      </c>
      <c r="G182" s="3457"/>
      <c r="H182" s="3457"/>
      <c r="I182" s="3457"/>
      <c r="J182" s="3457"/>
      <c r="Q182">
        <v>325.8</v>
      </c>
    </row>
    <row r="183" spans="1:17" hidden="1">
      <c r="Q183">
        <v>1550.8</v>
      </c>
    </row>
    <row r="184" spans="1:17" ht="15.75" hidden="1" thickBot="1">
      <c r="A184" s="59" t="s">
        <v>526</v>
      </c>
      <c r="Q184">
        <v>1287.3</v>
      </c>
    </row>
    <row r="185" spans="1:17" ht="15.75" hidden="1" thickBot="1">
      <c r="A185" s="3389" t="s">
        <v>0</v>
      </c>
      <c r="B185" s="3389" t="s">
        <v>1</v>
      </c>
      <c r="C185" s="3389" t="s">
        <v>2</v>
      </c>
      <c r="D185" s="3432" t="s">
        <v>165</v>
      </c>
      <c r="E185" s="3433"/>
      <c r="F185" s="3433"/>
      <c r="G185" s="3433"/>
      <c r="H185" s="3433"/>
      <c r="I185" s="3433"/>
      <c r="J185" s="3433"/>
      <c r="K185" s="1448"/>
      <c r="L185" s="1448"/>
      <c r="Q185">
        <v>8.1999999999999993</v>
      </c>
    </row>
    <row r="186" spans="1:17" ht="15.75" hidden="1" customHeight="1" thickBot="1">
      <c r="A186" s="3401"/>
      <c r="B186" s="3401"/>
      <c r="C186" s="3401"/>
      <c r="D186" s="3458" t="s">
        <v>3</v>
      </c>
      <c r="E186" s="3458"/>
      <c r="F186" s="3418">
        <v>2014</v>
      </c>
      <c r="G186" s="3419"/>
      <c r="H186" s="3389" t="s">
        <v>1375</v>
      </c>
      <c r="I186" s="3389" t="s">
        <v>1376</v>
      </c>
      <c r="J186" s="3389" t="s">
        <v>167</v>
      </c>
      <c r="K186" s="3389" t="s">
        <v>1154</v>
      </c>
      <c r="L186" s="3389" t="s">
        <v>1155</v>
      </c>
      <c r="Q186">
        <v>151.19999999999999</v>
      </c>
    </row>
    <row r="187" spans="1:17" ht="34.5" hidden="1" customHeight="1" thickBot="1">
      <c r="A187" s="3401"/>
      <c r="B187" s="3401"/>
      <c r="C187" s="3401"/>
      <c r="D187" s="1572" t="s">
        <v>5</v>
      </c>
      <c r="E187" s="1570" t="s">
        <v>6</v>
      </c>
      <c r="F187" s="1570" t="s">
        <v>7</v>
      </c>
      <c r="G187" s="1570" t="s">
        <v>8</v>
      </c>
      <c r="H187" s="3390"/>
      <c r="I187" s="3390"/>
      <c r="J187" s="3401"/>
      <c r="K187" s="3401"/>
      <c r="L187" s="3401"/>
      <c r="Q187">
        <v>42.4</v>
      </c>
    </row>
    <row r="188" spans="1:17" ht="15.75" hidden="1" thickBot="1">
      <c r="A188" s="1582">
        <v>2</v>
      </c>
      <c r="B188" s="5">
        <v>3</v>
      </c>
      <c r="C188" s="5">
        <v>4</v>
      </c>
      <c r="D188" s="5">
        <v>5</v>
      </c>
      <c r="E188" s="5">
        <v>6</v>
      </c>
      <c r="F188" s="5">
        <v>7</v>
      </c>
      <c r="G188" s="5">
        <v>8</v>
      </c>
      <c r="H188" s="5"/>
      <c r="I188" s="5"/>
      <c r="J188" s="5">
        <v>9</v>
      </c>
      <c r="K188" s="1234">
        <v>10</v>
      </c>
      <c r="L188" s="1583">
        <v>11</v>
      </c>
      <c r="Q188">
        <v>461</v>
      </c>
    </row>
    <row r="189" spans="1:17" hidden="1">
      <c r="A189" s="1581" t="s">
        <v>172</v>
      </c>
      <c r="B189" s="25" t="s">
        <v>173</v>
      </c>
      <c r="C189" s="25"/>
      <c r="D189" s="25"/>
      <c r="E189" s="25"/>
      <c r="F189" s="25"/>
      <c r="G189" s="25"/>
      <c r="H189" s="25"/>
      <c r="I189" s="25"/>
      <c r="J189" s="25"/>
      <c r="K189" s="1484"/>
      <c r="L189" s="1484"/>
      <c r="Q189">
        <v>70.400000000000006</v>
      </c>
    </row>
    <row r="190" spans="1:17" hidden="1">
      <c r="A190" s="1037">
        <v>1</v>
      </c>
      <c r="B190" s="1" t="s">
        <v>239</v>
      </c>
      <c r="C190" s="92" t="s">
        <v>146</v>
      </c>
      <c r="D190" s="1"/>
      <c r="E190" s="1"/>
      <c r="F190" s="1"/>
      <c r="G190" s="1"/>
      <c r="H190" s="1"/>
      <c r="I190" s="1"/>
      <c r="J190" s="1"/>
      <c r="K190" s="1481"/>
      <c r="L190" s="1481"/>
      <c r="Q190">
        <v>379.2</v>
      </c>
    </row>
    <row r="191" spans="1:17" hidden="1">
      <c r="A191" s="1037">
        <v>2</v>
      </c>
      <c r="B191" s="1" t="s">
        <v>240</v>
      </c>
      <c r="C191" s="92" t="s">
        <v>143</v>
      </c>
      <c r="D191" s="1"/>
      <c r="E191" s="1"/>
      <c r="F191" s="1"/>
      <c r="G191" s="1"/>
      <c r="H191" s="1"/>
      <c r="I191" s="1"/>
      <c r="J191" s="1"/>
      <c r="K191" s="1481"/>
      <c r="L191" s="1481"/>
      <c r="Q191">
        <v>598.6</v>
      </c>
    </row>
    <row r="192" spans="1:17" hidden="1">
      <c r="A192" s="1039">
        <v>3</v>
      </c>
      <c r="B192" s="39" t="s">
        <v>241</v>
      </c>
      <c r="C192" s="96" t="s">
        <v>11</v>
      </c>
      <c r="D192" s="39">
        <f t="shared" ref="D192:E192" si="59">D190*D191</f>
        <v>0</v>
      </c>
      <c r="E192" s="39">
        <f t="shared" si="59"/>
        <v>0</v>
      </c>
      <c r="F192" s="39"/>
      <c r="G192" s="39"/>
      <c r="H192" s="39"/>
      <c r="I192" s="39"/>
      <c r="J192" s="39"/>
      <c r="K192" s="1482"/>
      <c r="L192" s="1482"/>
      <c r="Q192">
        <v>506.5</v>
      </c>
    </row>
    <row r="193" spans="1:17" hidden="1">
      <c r="A193" s="1037" t="s">
        <v>225</v>
      </c>
      <c r="B193" s="1" t="s">
        <v>173</v>
      </c>
      <c r="C193" s="92"/>
      <c r="D193" s="1"/>
      <c r="E193" s="1"/>
      <c r="F193" s="1"/>
      <c r="G193" s="1"/>
      <c r="H193" s="1"/>
      <c r="I193" s="1"/>
      <c r="J193" s="1"/>
      <c r="K193" s="1481"/>
      <c r="L193" s="1481"/>
      <c r="Q193">
        <v>65</v>
      </c>
    </row>
    <row r="194" spans="1:17" ht="15.75" hidden="1" thickBot="1">
      <c r="A194" s="1036" t="s">
        <v>226</v>
      </c>
      <c r="B194" s="1" t="s">
        <v>173</v>
      </c>
      <c r="C194" s="92"/>
      <c r="D194" s="1"/>
      <c r="E194" s="1"/>
      <c r="F194" s="1"/>
      <c r="G194" s="1"/>
      <c r="H194" s="1"/>
      <c r="I194" s="1"/>
      <c r="J194" s="1"/>
      <c r="K194" s="1483"/>
      <c r="L194" s="1483"/>
      <c r="Q194" s="370">
        <f>SUM(Q182:Q193)</f>
        <v>5446.4</v>
      </c>
    </row>
    <row r="195" spans="1:17" ht="15.75" hidden="1" thickBot="1">
      <c r="A195" s="78"/>
      <c r="B195" s="77" t="s">
        <v>157</v>
      </c>
      <c r="C195" s="95" t="s">
        <v>11</v>
      </c>
      <c r="D195" s="77">
        <f t="shared" ref="D195:E195" si="60">D192+D193+D194</f>
        <v>0</v>
      </c>
      <c r="E195" s="77">
        <f t="shared" si="60"/>
        <v>0</v>
      </c>
      <c r="F195" s="77"/>
      <c r="G195" s="77"/>
      <c r="H195" s="77"/>
      <c r="I195" s="77"/>
      <c r="J195" s="77"/>
      <c r="K195" s="1486"/>
      <c r="L195" s="1486"/>
    </row>
    <row r="196" spans="1:17" hidden="1"/>
    <row r="197" spans="1:17" hidden="1">
      <c r="F197" s="3457" t="s">
        <v>242</v>
      </c>
      <c r="G197" s="3457"/>
      <c r="H197" s="3457"/>
      <c r="I197" s="3457"/>
      <c r="J197" s="3457"/>
    </row>
    <row r="198" spans="1:17" hidden="1">
      <c r="F198" s="3457" t="s">
        <v>169</v>
      </c>
      <c r="G198" s="3457"/>
      <c r="H198" s="3457"/>
      <c r="I198" s="3457"/>
      <c r="J198" s="3457"/>
    </row>
    <row r="199" spans="1:17" hidden="1">
      <c r="F199" s="58" t="s">
        <v>294</v>
      </c>
      <c r="G199" s="58"/>
      <c r="H199" s="58"/>
      <c r="I199" s="58"/>
      <c r="J199" s="58"/>
    </row>
    <row r="200" spans="1:17" hidden="1">
      <c r="F200" s="3457" t="s">
        <v>170</v>
      </c>
      <c r="G200" s="3457"/>
      <c r="H200" s="3457"/>
      <c r="I200" s="3457"/>
      <c r="J200" s="3457"/>
    </row>
    <row r="201" spans="1:17" hidden="1"/>
    <row r="202" spans="1:17" ht="15.75" thickBot="1">
      <c r="A202" s="1251" t="s">
        <v>1799</v>
      </c>
      <c r="B202" s="1565"/>
      <c r="C202" s="1548"/>
      <c r="D202" s="1548"/>
      <c r="E202" s="1548"/>
      <c r="F202" s="1548"/>
      <c r="G202" s="1548"/>
      <c r="H202" s="1548"/>
      <c r="I202" s="1548"/>
      <c r="J202" s="1548"/>
      <c r="K202" s="1548"/>
      <c r="L202" s="1548"/>
    </row>
    <row r="203" spans="1:17" ht="15.75" thickBot="1">
      <c r="A203" s="3389" t="s">
        <v>0</v>
      </c>
      <c r="B203" s="3389" t="s">
        <v>1</v>
      </c>
      <c r="C203" s="3389" t="s">
        <v>2</v>
      </c>
      <c r="D203" s="3432" t="s">
        <v>165</v>
      </c>
      <c r="E203" s="3433"/>
      <c r="F203" s="3433"/>
      <c r="G203" s="3433"/>
      <c r="H203" s="3433"/>
      <c r="I203" s="3433"/>
      <c r="J203" s="3433"/>
      <c r="K203" s="1550"/>
      <c r="L203" s="1550"/>
      <c r="M203" s="3439" t="s">
        <v>1460</v>
      </c>
      <c r="N203" s="3440"/>
      <c r="O203" s="3441"/>
    </row>
    <row r="204" spans="1:17" ht="15.75" customHeight="1" thickBot="1">
      <c r="A204" s="3401"/>
      <c r="B204" s="3401"/>
      <c r="C204" s="3401"/>
      <c r="D204" s="3458" t="s">
        <v>1200</v>
      </c>
      <c r="E204" s="3458"/>
      <c r="F204" s="3418">
        <v>2015</v>
      </c>
      <c r="G204" s="3419"/>
      <c r="H204" s="3389" t="s">
        <v>1375</v>
      </c>
      <c r="I204" s="3389" t="s">
        <v>1376</v>
      </c>
      <c r="J204" s="3389" t="s">
        <v>394</v>
      </c>
      <c r="K204" s="3389" t="s">
        <v>395</v>
      </c>
      <c r="L204" s="3389" t="s">
        <v>1155</v>
      </c>
      <c r="M204" s="3442"/>
      <c r="N204" s="3443"/>
      <c r="O204" s="3444"/>
    </row>
    <row r="205" spans="1:17" ht="30.75" customHeight="1" thickBot="1">
      <c r="A205" s="3390"/>
      <c r="B205" s="3390"/>
      <c r="C205" s="3390"/>
      <c r="D205" s="1551" t="s">
        <v>5</v>
      </c>
      <c r="E205" s="4" t="s">
        <v>6</v>
      </c>
      <c r="F205" s="4" t="s">
        <v>7</v>
      </c>
      <c r="G205" s="4" t="s">
        <v>8</v>
      </c>
      <c r="H205" s="3390"/>
      <c r="I205" s="3390"/>
      <c r="J205" s="3390"/>
      <c r="K205" s="3390"/>
      <c r="L205" s="3390"/>
      <c r="M205" s="2620">
        <v>2016</v>
      </c>
      <c r="N205" s="2620">
        <v>2017</v>
      </c>
      <c r="O205" s="2620">
        <v>2018</v>
      </c>
    </row>
    <row r="206" spans="1:17">
      <c r="A206" s="534">
        <v>1</v>
      </c>
      <c r="B206" s="3">
        <v>2</v>
      </c>
      <c r="C206" s="3">
        <v>3</v>
      </c>
      <c r="D206" s="3">
        <v>4</v>
      </c>
      <c r="E206" s="3">
        <v>5</v>
      </c>
      <c r="F206" s="3">
        <v>6</v>
      </c>
      <c r="G206" s="3">
        <v>7</v>
      </c>
      <c r="H206" s="3"/>
      <c r="I206" s="3"/>
      <c r="J206" s="3">
        <v>8</v>
      </c>
      <c r="K206" s="26">
        <v>9</v>
      </c>
      <c r="L206" s="26">
        <v>10</v>
      </c>
      <c r="M206" s="2624">
        <v>11</v>
      </c>
      <c r="N206" s="2621">
        <v>12</v>
      </c>
      <c r="O206" s="2625">
        <v>13</v>
      </c>
    </row>
    <row r="207" spans="1:17">
      <c r="A207" s="1037">
        <v>1</v>
      </c>
      <c r="B207" s="1" t="s">
        <v>243</v>
      </c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036"/>
      <c r="N207" s="1"/>
      <c r="O207" s="998"/>
    </row>
    <row r="208" spans="1:17">
      <c r="A208" s="521" t="s">
        <v>10</v>
      </c>
      <c r="B208" s="60" t="s">
        <v>244</v>
      </c>
      <c r="C208" s="2" t="s">
        <v>1039</v>
      </c>
      <c r="D208" s="416">
        <v>204.77</v>
      </c>
      <c r="E208" s="416">
        <v>207.98</v>
      </c>
      <c r="F208" s="416">
        <v>198.14</v>
      </c>
      <c r="G208" s="416">
        <v>307.5</v>
      </c>
      <c r="H208" s="416">
        <v>121.8</v>
      </c>
      <c r="I208" s="416">
        <v>290</v>
      </c>
      <c r="J208" s="416">
        <f>I208</f>
        <v>290</v>
      </c>
      <c r="K208" s="416">
        <f>J208</f>
        <v>290</v>
      </c>
      <c r="L208" s="416">
        <f>K208</f>
        <v>290</v>
      </c>
      <c r="M208" s="2611">
        <v>210</v>
      </c>
      <c r="N208" s="2612">
        <v>210</v>
      </c>
      <c r="O208" s="2613">
        <v>210</v>
      </c>
    </row>
    <row r="209" spans="1:15">
      <c r="A209" s="1045" t="s">
        <v>18</v>
      </c>
      <c r="B209" s="1" t="s">
        <v>245</v>
      </c>
      <c r="C209" s="618" t="s">
        <v>1040</v>
      </c>
      <c r="D209" s="416">
        <v>4520.96</v>
      </c>
      <c r="E209" s="416">
        <v>3342.9</v>
      </c>
      <c r="F209" s="416">
        <v>4204.18</v>
      </c>
      <c r="G209" s="416">
        <v>4153</v>
      </c>
      <c r="H209" s="416">
        <v>4360</v>
      </c>
      <c r="I209" s="416">
        <f>1265.68/290*1000</f>
        <v>4364.4137931034484</v>
      </c>
      <c r="J209" s="416">
        <f>I209*1.044</f>
        <v>4556.4480000000003</v>
      </c>
      <c r="K209" s="416">
        <f>J209*1.0431</f>
        <v>4752.8309087999996</v>
      </c>
      <c r="L209" s="416">
        <f>K209*1.0431</f>
        <v>4957.6779209692795</v>
      </c>
      <c r="M209" s="416">
        <f>H209*1.05</f>
        <v>4578</v>
      </c>
      <c r="N209" s="416">
        <f>M209*1.072</f>
        <v>4907.616</v>
      </c>
      <c r="O209" s="416">
        <f>N209*1.058</f>
        <v>5192.2577280000005</v>
      </c>
    </row>
    <row r="210" spans="1:15">
      <c r="A210" s="1046" t="s">
        <v>30</v>
      </c>
      <c r="B210" s="40" t="s">
        <v>246</v>
      </c>
      <c r="C210" s="90" t="s">
        <v>11</v>
      </c>
      <c r="D210" s="433">
        <f>D208*D209/1000-0.01</f>
        <v>925.74697920000006</v>
      </c>
      <c r="E210" s="433">
        <f>E208*E209/1000+0.6</f>
        <v>695.85634199999993</v>
      </c>
      <c r="F210" s="433">
        <f t="shared" ref="F210:O210" si="61">F208*F209/1000</f>
        <v>833.01622520000001</v>
      </c>
      <c r="G210" s="433">
        <f>G208*G209/1000-0.2</f>
        <v>1276.8474999999999</v>
      </c>
      <c r="H210" s="433">
        <f t="shared" ref="H210:I210" si="62">H208*H209/1000-0.2</f>
        <v>530.84799999999996</v>
      </c>
      <c r="I210" s="433">
        <f t="shared" si="62"/>
        <v>1265.48</v>
      </c>
      <c r="J210" s="433">
        <f t="shared" si="61"/>
        <v>1321.3699200000001</v>
      </c>
      <c r="K210" s="433">
        <f t="shared" si="61"/>
        <v>1378.320963552</v>
      </c>
      <c r="L210" s="433">
        <f t="shared" si="61"/>
        <v>1437.7265970810911</v>
      </c>
      <c r="M210" s="2626">
        <f t="shared" si="61"/>
        <v>961.38</v>
      </c>
      <c r="N210" s="433">
        <f t="shared" si="61"/>
        <v>1030.5993599999999</v>
      </c>
      <c r="O210" s="1047">
        <f t="shared" si="61"/>
        <v>1090.3741228800002</v>
      </c>
    </row>
    <row r="211" spans="1:15">
      <c r="A211" s="1045" t="s">
        <v>50</v>
      </c>
      <c r="B211" s="1" t="s">
        <v>247</v>
      </c>
      <c r="C211" s="92"/>
      <c r="D211" s="416"/>
      <c r="E211" s="416"/>
      <c r="F211" s="416"/>
      <c r="G211" s="416"/>
      <c r="H211" s="416"/>
      <c r="I211" s="416"/>
      <c r="J211" s="416"/>
      <c r="K211" s="416"/>
      <c r="L211" s="416"/>
      <c r="M211" s="1036"/>
      <c r="N211" s="1"/>
      <c r="O211" s="998"/>
    </row>
    <row r="212" spans="1:15">
      <c r="A212" s="521" t="s">
        <v>52</v>
      </c>
      <c r="B212" s="60" t="s">
        <v>244</v>
      </c>
      <c r="C212" s="92" t="s">
        <v>1035</v>
      </c>
      <c r="D212" s="416">
        <v>23.96</v>
      </c>
      <c r="E212" s="416">
        <v>3.35</v>
      </c>
      <c r="F212" s="416">
        <v>21</v>
      </c>
      <c r="G212" s="416">
        <v>25.216999999999999</v>
      </c>
      <c r="H212" s="416">
        <v>9.3260000000000005</v>
      </c>
      <c r="I212" s="416">
        <v>42.2</v>
      </c>
      <c r="J212" s="416">
        <v>79.287000000000006</v>
      </c>
      <c r="K212" s="416">
        <f>J212</f>
        <v>79.287000000000006</v>
      </c>
      <c r="L212" s="416">
        <f>K212</f>
        <v>79.287000000000006</v>
      </c>
      <c r="M212" s="2611">
        <v>15</v>
      </c>
      <c r="N212" s="416">
        <v>15</v>
      </c>
      <c r="O212" s="2613">
        <v>15</v>
      </c>
    </row>
    <row r="213" spans="1:15">
      <c r="A213" s="1045" t="s">
        <v>54</v>
      </c>
      <c r="B213" s="1" t="s">
        <v>245</v>
      </c>
      <c r="C213" s="92" t="s">
        <v>1036</v>
      </c>
      <c r="D213" s="416">
        <v>4591.3500000000004</v>
      </c>
      <c r="E213" s="416">
        <v>4705.3729999999996</v>
      </c>
      <c r="F213" s="416">
        <v>4490</v>
      </c>
      <c r="G213" s="416">
        <v>5008.2449999999999</v>
      </c>
      <c r="H213" s="416">
        <v>5990</v>
      </c>
      <c r="I213" s="416">
        <v>5060</v>
      </c>
      <c r="J213" s="481">
        <f>J214/J212*1000</f>
        <v>5817.599354244705</v>
      </c>
      <c r="K213" s="416">
        <f>J213*1.1</f>
        <v>6399.3592896691762</v>
      </c>
      <c r="L213" s="416">
        <f>K213*1.099</f>
        <v>7032.8958593464249</v>
      </c>
      <c r="M213" s="416">
        <f>G213*1.04</f>
        <v>5208.5748000000003</v>
      </c>
      <c r="N213" s="416">
        <f>M213*1.069</f>
        <v>5567.9664611999997</v>
      </c>
      <c r="O213" s="416">
        <f>N213*1.049</f>
        <v>5840.7968177987996</v>
      </c>
    </row>
    <row r="214" spans="1:15">
      <c r="A214" s="1046" t="s">
        <v>56</v>
      </c>
      <c r="B214" s="40" t="s">
        <v>246</v>
      </c>
      <c r="C214" s="90" t="s">
        <v>11</v>
      </c>
      <c r="D214" s="433">
        <f t="shared" ref="D214:O214" si="63">D212*D213/1000</f>
        <v>110.00874600000002</v>
      </c>
      <c r="E214" s="433">
        <f t="shared" si="63"/>
        <v>15.762999549999998</v>
      </c>
      <c r="F214" s="433">
        <f>F212*F213/1000-0.03</f>
        <v>94.26</v>
      </c>
      <c r="G214" s="433">
        <f t="shared" si="63"/>
        <v>126.292914165</v>
      </c>
      <c r="H214" s="433">
        <f t="shared" si="63"/>
        <v>55.862740000000002</v>
      </c>
      <c r="I214" s="433">
        <f t="shared" si="63"/>
        <v>213.53200000000001</v>
      </c>
      <c r="J214" s="433">
        <v>461.26</v>
      </c>
      <c r="K214" s="433">
        <f t="shared" si="63"/>
        <v>507.38600000000002</v>
      </c>
      <c r="L214" s="433">
        <f t="shared" si="63"/>
        <v>557.61721399999999</v>
      </c>
      <c r="M214" s="2626">
        <f t="shared" si="63"/>
        <v>78.128622000000007</v>
      </c>
      <c r="N214" s="433">
        <f t="shared" si="63"/>
        <v>83.519496917999987</v>
      </c>
      <c r="O214" s="1047">
        <f t="shared" si="63"/>
        <v>87.611952266982001</v>
      </c>
    </row>
    <row r="215" spans="1:15">
      <c r="A215" s="1037">
        <v>3</v>
      </c>
      <c r="B215" s="1" t="s">
        <v>596</v>
      </c>
      <c r="C215" s="92"/>
      <c r="D215" s="416"/>
      <c r="E215" s="416"/>
      <c r="F215" s="416"/>
      <c r="G215" s="416"/>
      <c r="H215" s="416"/>
      <c r="I215" s="416"/>
      <c r="J215" s="416"/>
      <c r="K215" s="416"/>
      <c r="L215" s="416"/>
      <c r="M215" s="1036"/>
      <c r="N215" s="1"/>
      <c r="O215" s="998"/>
    </row>
    <row r="216" spans="1:15">
      <c r="A216" s="521" t="s">
        <v>52</v>
      </c>
      <c r="B216" s="60" t="s">
        <v>244</v>
      </c>
      <c r="C216" s="92" t="s">
        <v>1038</v>
      </c>
      <c r="D216" s="416">
        <v>2.2999999999999998</v>
      </c>
      <c r="E216" s="416">
        <v>2.2999999999999998</v>
      </c>
      <c r="F216" s="416">
        <v>2.25</v>
      </c>
      <c r="G216" s="416">
        <v>2.2999999999999998</v>
      </c>
      <c r="H216" s="416">
        <f>5.75/2*0.96*0.59</f>
        <v>1.6283999999999998</v>
      </c>
      <c r="I216" s="416">
        <f>H216*2</f>
        <v>3.2567999999999997</v>
      </c>
      <c r="J216" s="416">
        <f>I216</f>
        <v>3.2567999999999997</v>
      </c>
      <c r="K216" s="416">
        <f>J216</f>
        <v>3.2567999999999997</v>
      </c>
      <c r="L216" s="416">
        <f>K216</f>
        <v>3.2567999999999997</v>
      </c>
      <c r="M216" s="2611">
        <v>2.2999999999999998</v>
      </c>
      <c r="N216" s="2612">
        <v>2.2999999999999998</v>
      </c>
      <c r="O216" s="416">
        <v>2.2999999999999998</v>
      </c>
    </row>
    <row r="217" spans="1:15">
      <c r="A217" s="1045" t="s">
        <v>54</v>
      </c>
      <c r="B217" s="1" t="s">
        <v>245</v>
      </c>
      <c r="C217" s="92" t="s">
        <v>1037</v>
      </c>
      <c r="D217" s="416">
        <v>24174.77</v>
      </c>
      <c r="E217" s="416">
        <v>23640</v>
      </c>
      <c r="F217" s="416">
        <v>26770</v>
      </c>
      <c r="G217" s="416">
        <v>24340</v>
      </c>
      <c r="H217" s="416">
        <v>24350</v>
      </c>
      <c r="I217" s="416">
        <v>24350</v>
      </c>
      <c r="J217" s="416">
        <f>I217*1.045</f>
        <v>25445.75</v>
      </c>
      <c r="K217" s="416">
        <f>J217*1.043</f>
        <v>26539.917249999999</v>
      </c>
      <c r="L217" s="416">
        <f>K217*1.043</f>
        <v>27681.133691749998</v>
      </c>
      <c r="M217" s="416">
        <f>I217*1.033</f>
        <v>25153.55</v>
      </c>
      <c r="N217" s="416">
        <f>M217*1.061</f>
        <v>26687.916549999998</v>
      </c>
      <c r="O217" s="416">
        <f>N217*1.062</f>
        <v>28342.5673761</v>
      </c>
    </row>
    <row r="218" spans="1:15" ht="15.75" thickBot="1">
      <c r="A218" s="1048" t="s">
        <v>56</v>
      </c>
      <c r="B218" s="87" t="s">
        <v>246</v>
      </c>
      <c r="C218" s="97" t="s">
        <v>11</v>
      </c>
      <c r="D218" s="434">
        <f>D216*D217/1000</f>
        <v>55.601970999999999</v>
      </c>
      <c r="E218" s="434">
        <f t="shared" ref="E218:O218" si="64">E216*E217/1000</f>
        <v>54.371999999999993</v>
      </c>
      <c r="F218" s="434">
        <f t="shared" si="64"/>
        <v>60.232500000000002</v>
      </c>
      <c r="G218" s="434">
        <f t="shared" si="64"/>
        <v>55.981999999999992</v>
      </c>
      <c r="H218" s="434">
        <f t="shared" si="64"/>
        <v>39.651539999999997</v>
      </c>
      <c r="I218" s="434">
        <f t="shared" si="64"/>
        <v>79.303079999999994</v>
      </c>
      <c r="J218" s="434">
        <f t="shared" si="64"/>
        <v>82.871718599999994</v>
      </c>
      <c r="K218" s="434">
        <f t="shared" si="64"/>
        <v>86.435202499799985</v>
      </c>
      <c r="L218" s="434">
        <f t="shared" si="64"/>
        <v>90.151916207291393</v>
      </c>
      <c r="M218" s="2627">
        <f t="shared" si="64"/>
        <v>57.853164999999997</v>
      </c>
      <c r="N218" s="2628">
        <f t="shared" si="64"/>
        <v>61.382208064999993</v>
      </c>
      <c r="O218" s="2629">
        <f t="shared" si="64"/>
        <v>65.187904965029986</v>
      </c>
    </row>
    <row r="219" spans="1:15" ht="15.75" thickBot="1">
      <c r="A219" s="88"/>
      <c r="B219" s="77" t="s">
        <v>157</v>
      </c>
      <c r="C219" s="95" t="s">
        <v>11</v>
      </c>
      <c r="D219" s="430">
        <f t="shared" ref="D219:O219" si="65">D210+D214+D218</f>
        <v>1091.3576962000002</v>
      </c>
      <c r="E219" s="430">
        <f>E210+E214+E218</f>
        <v>765.9913415499999</v>
      </c>
      <c r="F219" s="430">
        <f t="shared" si="65"/>
        <v>987.50872519999996</v>
      </c>
      <c r="G219" s="430">
        <f t="shared" si="65"/>
        <v>1459.1224141649998</v>
      </c>
      <c r="H219" s="430">
        <f t="shared" si="65"/>
        <v>626.36227999999994</v>
      </c>
      <c r="I219" s="430">
        <f t="shared" si="65"/>
        <v>1558.3150799999999</v>
      </c>
      <c r="J219" s="430">
        <f t="shared" si="65"/>
        <v>1865.5016386</v>
      </c>
      <c r="K219" s="430">
        <f t="shared" si="65"/>
        <v>1972.1421660517999</v>
      </c>
      <c r="L219" s="430">
        <f t="shared" si="65"/>
        <v>2085.4957272883826</v>
      </c>
      <c r="M219" s="430">
        <f t="shared" si="65"/>
        <v>1097.361787</v>
      </c>
      <c r="N219" s="430">
        <f t="shared" si="65"/>
        <v>1175.5010649829999</v>
      </c>
      <c r="O219" s="430">
        <f t="shared" si="65"/>
        <v>1243.173980112012</v>
      </c>
    </row>
    <row r="221" spans="1:15">
      <c r="F221" s="3457" t="s">
        <v>248</v>
      </c>
      <c r="G221" s="3457"/>
      <c r="H221" s="3457"/>
      <c r="I221" s="3457"/>
      <c r="J221" s="3457"/>
    </row>
    <row r="222" spans="1:15">
      <c r="F222" s="3457" t="s">
        <v>169</v>
      </c>
      <c r="G222" s="3457"/>
      <c r="H222" s="3457"/>
      <c r="I222" s="3457"/>
      <c r="J222" s="3457"/>
    </row>
    <row r="223" spans="1:15">
      <c r="F223" s="58" t="s">
        <v>294</v>
      </c>
      <c r="G223" s="58"/>
      <c r="H223" s="58"/>
      <c r="I223" s="58"/>
      <c r="J223" s="58"/>
    </row>
    <row r="224" spans="1:15">
      <c r="F224" s="3457" t="s">
        <v>170</v>
      </c>
      <c r="G224" s="3457"/>
      <c r="H224" s="3457"/>
      <c r="I224" s="3457"/>
      <c r="J224" s="3457"/>
    </row>
    <row r="226" spans="1:15" ht="15.75" thickBot="1">
      <c r="A226" s="59" t="s">
        <v>527</v>
      </c>
      <c r="C226" s="1548"/>
      <c r="D226" s="1548"/>
      <c r="E226" s="1548"/>
      <c r="F226" s="1548"/>
      <c r="G226" s="1548"/>
      <c r="H226" s="1548"/>
      <c r="I226" s="1548"/>
      <c r="J226" s="1548"/>
      <c r="K226" s="1548"/>
      <c r="L226" s="1548"/>
    </row>
    <row r="227" spans="1:15" ht="15.75" thickBot="1">
      <c r="A227" s="3389" t="s">
        <v>0</v>
      </c>
      <c r="B227" s="3389" t="s">
        <v>1</v>
      </c>
      <c r="C227" s="3389" t="s">
        <v>2</v>
      </c>
      <c r="D227" s="3432" t="s">
        <v>165</v>
      </c>
      <c r="E227" s="3433"/>
      <c r="F227" s="3433"/>
      <c r="G227" s="3433"/>
      <c r="H227" s="3433"/>
      <c r="I227" s="3433"/>
      <c r="J227" s="3433"/>
      <c r="K227" s="1553"/>
      <c r="L227" s="1553"/>
      <c r="M227" s="3439" t="s">
        <v>1460</v>
      </c>
      <c r="N227" s="3440"/>
      <c r="O227" s="3441"/>
    </row>
    <row r="228" spans="1:15" ht="15.75" customHeight="1" thickBot="1">
      <c r="A228" s="3401"/>
      <c r="B228" s="3401"/>
      <c r="C228" s="3401"/>
      <c r="D228" s="3458" t="s">
        <v>1103</v>
      </c>
      <c r="E228" s="3458"/>
      <c r="F228" s="3418">
        <v>2015</v>
      </c>
      <c r="G228" s="3419"/>
      <c r="H228" s="3389" t="s">
        <v>1375</v>
      </c>
      <c r="I228" s="3389" t="s">
        <v>1379</v>
      </c>
      <c r="J228" s="3389" t="s">
        <v>394</v>
      </c>
      <c r="K228" s="3389" t="s">
        <v>1154</v>
      </c>
      <c r="L228" s="3389" t="s">
        <v>1155</v>
      </c>
      <c r="M228" s="3442"/>
      <c r="N228" s="3443"/>
      <c r="O228" s="3444"/>
    </row>
    <row r="229" spans="1:15" ht="27" customHeight="1" thickBot="1">
      <c r="A229" s="3390"/>
      <c r="B229" s="3390"/>
      <c r="C229" s="3390"/>
      <c r="D229" s="1556" t="s">
        <v>5</v>
      </c>
      <c r="E229" s="4" t="s">
        <v>6</v>
      </c>
      <c r="F229" s="4" t="s">
        <v>7</v>
      </c>
      <c r="G229" s="4" t="s">
        <v>8</v>
      </c>
      <c r="H229" s="3390"/>
      <c r="I229" s="3390"/>
      <c r="J229" s="3390"/>
      <c r="K229" s="3390"/>
      <c r="L229" s="3390"/>
      <c r="M229" s="2620">
        <v>2016</v>
      </c>
      <c r="N229" s="2620">
        <v>2017</v>
      </c>
      <c r="O229" s="2620">
        <v>2018</v>
      </c>
    </row>
    <row r="230" spans="1:15">
      <c r="A230" s="534">
        <v>1</v>
      </c>
      <c r="B230" s="3">
        <v>2</v>
      </c>
      <c r="C230" s="3">
        <v>3</v>
      </c>
      <c r="D230" s="3">
        <v>4</v>
      </c>
      <c r="E230" s="3">
        <v>5</v>
      </c>
      <c r="F230" s="3">
        <v>6</v>
      </c>
      <c r="G230" s="3">
        <v>7</v>
      </c>
      <c r="H230" s="3"/>
      <c r="I230" s="3"/>
      <c r="J230" s="3">
        <v>8</v>
      </c>
      <c r="K230" s="26">
        <v>9</v>
      </c>
      <c r="L230" s="26">
        <v>10</v>
      </c>
      <c r="M230" s="1581">
        <v>11</v>
      </c>
      <c r="N230" s="25">
        <v>12</v>
      </c>
      <c r="O230" s="2632">
        <v>13</v>
      </c>
    </row>
    <row r="231" spans="1:15">
      <c r="A231" s="1036" t="s">
        <v>172</v>
      </c>
      <c r="B231" s="62" t="s">
        <v>597</v>
      </c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036"/>
      <c r="N231" s="1"/>
      <c r="O231" s="998"/>
    </row>
    <row r="232" spans="1:15">
      <c r="A232" s="1037">
        <v>1</v>
      </c>
      <c r="B232" s="1" t="s">
        <v>249</v>
      </c>
      <c r="C232" s="92" t="s">
        <v>146</v>
      </c>
      <c r="D232" s="416">
        <v>839</v>
      </c>
      <c r="E232" s="416">
        <v>763</v>
      </c>
      <c r="F232" s="416">
        <v>783.29</v>
      </c>
      <c r="G232" s="416">
        <v>758.10500000000002</v>
      </c>
      <c r="H232" s="416">
        <f>355.483-82</f>
        <v>273.483</v>
      </c>
      <c r="I232" s="416">
        <f>G232</f>
        <v>758.10500000000002</v>
      </c>
      <c r="J232" s="416">
        <v>759.81600000000003</v>
      </c>
      <c r="K232" s="416">
        <v>755.08600000000001</v>
      </c>
      <c r="L232" s="416">
        <v>757.74</v>
      </c>
      <c r="M232" s="1604">
        <f>J232</f>
        <v>759.81600000000003</v>
      </c>
      <c r="N232" s="416">
        <f>K232</f>
        <v>755.08600000000001</v>
      </c>
      <c r="O232" s="1030">
        <f>L232</f>
        <v>757.74</v>
      </c>
    </row>
    <row r="233" spans="1:15">
      <c r="A233" s="1037">
        <v>2</v>
      </c>
      <c r="B233" s="1" t="s">
        <v>250</v>
      </c>
      <c r="C233" s="92" t="s">
        <v>143</v>
      </c>
      <c r="D233" s="416">
        <v>15.23</v>
      </c>
      <c r="E233" s="416">
        <f>14.78/2+15.44/2</f>
        <v>15.11</v>
      </c>
      <c r="F233" s="416">
        <v>16.170000000000002</v>
      </c>
      <c r="G233" s="416">
        <f>15.44/2+16.9/2</f>
        <v>16.169999999999998</v>
      </c>
      <c r="H233" s="416">
        <v>16.170000000000002</v>
      </c>
      <c r="I233" s="416">
        <f>(16.17+16.9)/2</f>
        <v>16.535</v>
      </c>
      <c r="J233" s="416">
        <f>G233*1.045</f>
        <v>16.897649999999995</v>
      </c>
      <c r="K233" s="416">
        <f>J233*1.043</f>
        <v>17.624248949999995</v>
      </c>
      <c r="L233" s="416">
        <f>K233*1.043</f>
        <v>18.382091654849994</v>
      </c>
      <c r="M233" s="1036">
        <v>17.45</v>
      </c>
      <c r="N233" s="1">
        <v>18.41</v>
      </c>
      <c r="O233" s="998">
        <v>19.29</v>
      </c>
    </row>
    <row r="234" spans="1:15">
      <c r="A234" s="1037">
        <v>3</v>
      </c>
      <c r="B234" s="62" t="s">
        <v>251</v>
      </c>
      <c r="C234" s="2008" t="s">
        <v>11</v>
      </c>
      <c r="D234" s="408">
        <v>12777.970000000001</v>
      </c>
      <c r="E234" s="408">
        <f t="shared" ref="E234:L234" si="66">E232*E233</f>
        <v>11528.93</v>
      </c>
      <c r="F234" s="408">
        <v>12665.799300000001</v>
      </c>
      <c r="G234" s="408">
        <f t="shared" si="66"/>
        <v>12258.557849999999</v>
      </c>
      <c r="H234" s="408">
        <f t="shared" si="66"/>
        <v>4422.2201100000002</v>
      </c>
      <c r="I234" s="408">
        <f t="shared" si="66"/>
        <v>12535.266175000001</v>
      </c>
      <c r="J234" s="408">
        <f t="shared" si="66"/>
        <v>12839.104832399997</v>
      </c>
      <c r="K234" s="408">
        <f t="shared" si="66"/>
        <v>13307.823642659696</v>
      </c>
      <c r="L234" s="408">
        <f t="shared" si="66"/>
        <v>13928.846130546035</v>
      </c>
      <c r="M234" s="2646">
        <f>M232*M233</f>
        <v>13258.789199999999</v>
      </c>
      <c r="N234" s="408">
        <f t="shared" ref="N234:O234" si="67">N232*N233</f>
        <v>13901.133260000001</v>
      </c>
      <c r="O234" s="1027">
        <f t="shared" si="67"/>
        <v>14616.804599999999</v>
      </c>
    </row>
    <row r="235" spans="1:15">
      <c r="A235" s="1037" t="s">
        <v>252</v>
      </c>
      <c r="B235" s="62" t="s">
        <v>598</v>
      </c>
      <c r="C235" s="92"/>
      <c r="D235" s="416"/>
      <c r="E235" s="416"/>
      <c r="F235" s="416"/>
      <c r="G235" s="416"/>
      <c r="H235" s="416"/>
      <c r="I235" s="416"/>
      <c r="J235" s="416"/>
      <c r="K235" s="416"/>
      <c r="L235" s="416"/>
      <c r="M235" s="1036"/>
      <c r="N235" s="1"/>
      <c r="O235" s="998"/>
    </row>
    <row r="236" spans="1:15">
      <c r="A236" s="1050">
        <v>1</v>
      </c>
      <c r="B236" s="1" t="s">
        <v>249</v>
      </c>
      <c r="C236" s="92" t="s">
        <v>146</v>
      </c>
      <c r="D236" s="427">
        <v>36.31</v>
      </c>
      <c r="E236" s="427">
        <v>32.08</v>
      </c>
      <c r="F236" s="427">
        <v>29.93</v>
      </c>
      <c r="G236" s="427">
        <v>36.865000000000002</v>
      </c>
      <c r="H236" s="427">
        <v>17.202999999999999</v>
      </c>
      <c r="I236" s="427">
        <f>G236</f>
        <v>36.865000000000002</v>
      </c>
      <c r="J236" s="416">
        <v>36.966000000000001</v>
      </c>
      <c r="K236" s="416">
        <v>36.719000000000001</v>
      </c>
      <c r="L236" s="416">
        <v>36.865000000000002</v>
      </c>
      <c r="M236" s="2611">
        <v>33</v>
      </c>
      <c r="N236" s="2612">
        <v>33</v>
      </c>
      <c r="O236" s="2613">
        <v>33</v>
      </c>
    </row>
    <row r="237" spans="1:15">
      <c r="A237" s="1050">
        <v>2</v>
      </c>
      <c r="B237" s="1" t="s">
        <v>250</v>
      </c>
      <c r="C237" s="92" t="s">
        <v>143</v>
      </c>
      <c r="D237" s="427">
        <v>23.54</v>
      </c>
      <c r="E237" s="427">
        <v>20.74</v>
      </c>
      <c r="F237" s="427">
        <v>22.98</v>
      </c>
      <c r="G237" s="427">
        <f>22.21/2+23.75/2</f>
        <v>22.98</v>
      </c>
      <c r="H237" s="427">
        <v>22.21</v>
      </c>
      <c r="I237" s="427">
        <f>22.21/2+23.75/2</f>
        <v>22.98</v>
      </c>
      <c r="J237" s="416">
        <f>G237*1.045</f>
        <v>24.014099999999999</v>
      </c>
      <c r="K237" s="416">
        <f>J237*1.043</f>
        <v>25.046706299999997</v>
      </c>
      <c r="L237" s="416">
        <f>K237*1.043</f>
        <v>26.123714670899997</v>
      </c>
      <c r="M237" s="2631">
        <v>22.13</v>
      </c>
      <c r="N237" s="1297">
        <v>24.1</v>
      </c>
      <c r="O237" s="2630">
        <v>26.05</v>
      </c>
    </row>
    <row r="238" spans="1:15">
      <c r="A238" s="1050">
        <v>3</v>
      </c>
      <c r="B238" s="1" t="s">
        <v>251</v>
      </c>
      <c r="C238" s="92" t="s">
        <v>11</v>
      </c>
      <c r="D238" s="427">
        <v>854.73739999999998</v>
      </c>
      <c r="E238" s="427">
        <f t="shared" ref="E238:O238" si="68">E236*E237</f>
        <v>665.33919999999989</v>
      </c>
      <c r="F238" s="427">
        <v>687.79139999999995</v>
      </c>
      <c r="G238" s="427">
        <f t="shared" si="68"/>
        <v>847.15770000000009</v>
      </c>
      <c r="H238" s="427">
        <f t="shared" si="68"/>
        <v>382.07862999999998</v>
      </c>
      <c r="I238" s="427">
        <f t="shared" si="68"/>
        <v>847.15770000000009</v>
      </c>
      <c r="J238" s="416">
        <f t="shared" si="68"/>
        <v>887.70522059999996</v>
      </c>
      <c r="K238" s="416">
        <f t="shared" si="68"/>
        <v>919.69000862969995</v>
      </c>
      <c r="L238" s="416">
        <f t="shared" si="68"/>
        <v>963.05074134272843</v>
      </c>
      <c r="M238" s="2646">
        <f t="shared" si="68"/>
        <v>730.29</v>
      </c>
      <c r="N238" s="408">
        <f t="shared" si="68"/>
        <v>795.30000000000007</v>
      </c>
      <c r="O238" s="1027">
        <f t="shared" si="68"/>
        <v>859.65</v>
      </c>
    </row>
    <row r="239" spans="1:15" ht="15.75" thickBot="1">
      <c r="A239" s="1040" t="s">
        <v>226</v>
      </c>
      <c r="B239" s="27" t="s">
        <v>173</v>
      </c>
      <c r="C239" s="93"/>
      <c r="D239" s="427"/>
      <c r="E239" s="427"/>
      <c r="F239" s="427"/>
      <c r="G239" s="427"/>
      <c r="H239" s="427"/>
      <c r="I239" s="427"/>
      <c r="J239" s="427"/>
      <c r="K239" s="427"/>
      <c r="L239" s="427"/>
      <c r="M239" s="1036"/>
      <c r="N239" s="1"/>
      <c r="O239" s="998"/>
    </row>
    <row r="240" spans="1:15" ht="15.75" thickBot="1">
      <c r="A240" s="78"/>
      <c r="B240" s="77" t="s">
        <v>157</v>
      </c>
      <c r="C240" s="95" t="s">
        <v>11</v>
      </c>
      <c r="D240" s="430">
        <f>D234+D238+53</f>
        <v>13685.707400000001</v>
      </c>
      <c r="E240" s="430">
        <f t="shared" ref="E240:O240" si="69">E234+E238</f>
        <v>12194.269200000001</v>
      </c>
      <c r="F240" s="430">
        <f>F234+F238</f>
        <v>13353.590700000001</v>
      </c>
      <c r="G240" s="430">
        <f t="shared" si="69"/>
        <v>13105.715549999999</v>
      </c>
      <c r="H240" s="430">
        <f t="shared" si="69"/>
        <v>4804.2987400000002</v>
      </c>
      <c r="I240" s="430">
        <f t="shared" si="69"/>
        <v>13382.423875</v>
      </c>
      <c r="J240" s="430">
        <f t="shared" si="69"/>
        <v>13726.810052999997</v>
      </c>
      <c r="K240" s="430">
        <f t="shared" si="69"/>
        <v>14227.513651289395</v>
      </c>
      <c r="L240" s="430">
        <f t="shared" si="69"/>
        <v>14891.896871888763</v>
      </c>
      <c r="M240" s="509">
        <f>M234+M238</f>
        <v>13989.0792</v>
      </c>
      <c r="N240" s="430">
        <f t="shared" si="69"/>
        <v>14696.43326</v>
      </c>
      <c r="O240" s="1033">
        <f t="shared" si="69"/>
        <v>15476.454599999999</v>
      </c>
    </row>
    <row r="243" spans="1:15" ht="50.25" customHeight="1" thickBot="1">
      <c r="A243" s="3464" t="s">
        <v>528</v>
      </c>
      <c r="B243" s="3465"/>
      <c r="C243" s="3465"/>
      <c r="D243" s="3465"/>
      <c r="E243" s="3465"/>
      <c r="F243" s="3465"/>
      <c r="G243" s="3465"/>
      <c r="H243" s="3465"/>
      <c r="I243" s="3465"/>
      <c r="J243" s="3465"/>
    </row>
    <row r="244" spans="1:15" ht="15.75" thickBot="1">
      <c r="A244" s="3389" t="s">
        <v>0</v>
      </c>
      <c r="B244" s="3389" t="s">
        <v>1</v>
      </c>
      <c r="C244" s="3389" t="s">
        <v>2</v>
      </c>
      <c r="D244" s="3432" t="s">
        <v>165</v>
      </c>
      <c r="E244" s="3433"/>
      <c r="F244" s="3433"/>
      <c r="G244" s="3433"/>
      <c r="H244" s="3433"/>
      <c r="I244" s="3433"/>
      <c r="J244" s="3433"/>
      <c r="K244" s="1553"/>
      <c r="L244" s="1553"/>
      <c r="M244" s="3439" t="s">
        <v>1460</v>
      </c>
      <c r="N244" s="3440"/>
      <c r="O244" s="3441"/>
    </row>
    <row r="245" spans="1:15" ht="15.75" customHeight="1" thickBot="1">
      <c r="A245" s="3401"/>
      <c r="B245" s="3401"/>
      <c r="C245" s="3401"/>
      <c r="D245" s="3458" t="s">
        <v>1197</v>
      </c>
      <c r="E245" s="3458"/>
      <c r="F245" s="3418">
        <v>2015</v>
      </c>
      <c r="G245" s="3419"/>
      <c r="H245" s="3389" t="s">
        <v>1375</v>
      </c>
      <c r="I245" s="3389" t="s">
        <v>1376</v>
      </c>
      <c r="J245" s="3389" t="s">
        <v>394</v>
      </c>
      <c r="K245" s="3389" t="s">
        <v>1154</v>
      </c>
      <c r="L245" s="3389" t="s">
        <v>1155</v>
      </c>
      <c r="M245" s="3442"/>
      <c r="N245" s="3443"/>
      <c r="O245" s="3444"/>
    </row>
    <row r="246" spans="1:15" ht="27.75" customHeight="1" thickBot="1">
      <c r="A246" s="3390"/>
      <c r="B246" s="3390"/>
      <c r="C246" s="3390"/>
      <c r="D246" s="1556" t="s">
        <v>5</v>
      </c>
      <c r="E246" s="4" t="s">
        <v>6</v>
      </c>
      <c r="F246" s="4" t="s">
        <v>7</v>
      </c>
      <c r="G246" s="4" t="s">
        <v>8</v>
      </c>
      <c r="H246" s="3390"/>
      <c r="I246" s="3390"/>
      <c r="J246" s="3390"/>
      <c r="K246" s="3390"/>
      <c r="L246" s="3390"/>
      <c r="M246" s="2620">
        <v>2016</v>
      </c>
      <c r="N246" s="2620">
        <v>2017</v>
      </c>
      <c r="O246" s="2620">
        <v>2018</v>
      </c>
    </row>
    <row r="247" spans="1:15">
      <c r="A247" s="534">
        <v>1</v>
      </c>
      <c r="B247" s="3">
        <v>2</v>
      </c>
      <c r="C247" s="3">
        <v>3</v>
      </c>
      <c r="D247" s="3">
        <v>4</v>
      </c>
      <c r="E247" s="3">
        <v>5</v>
      </c>
      <c r="F247" s="3">
        <v>6</v>
      </c>
      <c r="G247" s="3">
        <v>7</v>
      </c>
      <c r="H247" s="3"/>
      <c r="I247" s="3"/>
      <c r="J247" s="3">
        <v>8</v>
      </c>
      <c r="K247" s="26">
        <v>9</v>
      </c>
      <c r="L247" s="26">
        <v>10</v>
      </c>
      <c r="M247" s="2633">
        <v>11</v>
      </c>
      <c r="N247" s="2634">
        <v>12</v>
      </c>
      <c r="O247" s="2635">
        <v>13</v>
      </c>
    </row>
    <row r="248" spans="1:15">
      <c r="A248" s="1053" t="s">
        <v>172</v>
      </c>
      <c r="B248" s="107" t="s">
        <v>1648</v>
      </c>
      <c r="C248" s="3"/>
      <c r="D248" s="3"/>
      <c r="E248" s="3"/>
      <c r="F248" s="3"/>
      <c r="G248" s="3"/>
      <c r="H248" s="3"/>
      <c r="I248" s="3"/>
      <c r="J248" s="2"/>
      <c r="K248" s="1"/>
      <c r="L248" s="1"/>
      <c r="M248" s="1036"/>
      <c r="N248" s="1"/>
      <c r="O248" s="998"/>
    </row>
    <row r="249" spans="1:15">
      <c r="A249" s="1037">
        <v>1</v>
      </c>
      <c r="B249" s="60" t="s">
        <v>281</v>
      </c>
      <c r="C249" s="92" t="s">
        <v>146</v>
      </c>
      <c r="D249" s="1"/>
      <c r="E249" s="1"/>
      <c r="F249" s="416">
        <v>2106.6799999999998</v>
      </c>
      <c r="G249" s="1"/>
      <c r="H249" s="1"/>
      <c r="I249" s="1"/>
      <c r="J249" s="1297"/>
      <c r="K249" s="1297"/>
      <c r="L249" s="1297"/>
      <c r="M249" s="416">
        <v>2005.5</v>
      </c>
      <c r="N249" s="416">
        <f>M249</f>
        <v>2005.5</v>
      </c>
      <c r="O249" s="416">
        <f>N249</f>
        <v>2005.5</v>
      </c>
    </row>
    <row r="250" spans="1:15">
      <c r="A250" s="1045" t="s">
        <v>10</v>
      </c>
      <c r="B250" s="60" t="s">
        <v>282</v>
      </c>
      <c r="C250" s="92" t="s">
        <v>143</v>
      </c>
      <c r="D250" s="1"/>
      <c r="E250" s="1"/>
      <c r="F250" s="416">
        <v>4</v>
      </c>
      <c r="G250" s="1"/>
      <c r="H250" s="1"/>
      <c r="I250" s="1"/>
      <c r="J250" s="1297"/>
      <c r="K250" s="1297"/>
      <c r="L250" s="1297"/>
      <c r="M250" s="1036">
        <v>3.75</v>
      </c>
      <c r="N250" s="1">
        <v>3.84</v>
      </c>
      <c r="O250" s="998">
        <v>3.93</v>
      </c>
    </row>
    <row r="251" spans="1:15">
      <c r="A251" s="1046" t="s">
        <v>18</v>
      </c>
      <c r="B251" s="73" t="s">
        <v>285</v>
      </c>
      <c r="C251" s="90" t="s">
        <v>11</v>
      </c>
      <c r="D251" s="40">
        <f t="shared" ref="D251:E251" si="70">D249*D250</f>
        <v>0</v>
      </c>
      <c r="E251" s="40">
        <f t="shared" si="70"/>
        <v>0</v>
      </c>
      <c r="F251" s="433">
        <f>F249*F250</f>
        <v>8426.7199999999993</v>
      </c>
      <c r="G251" s="40"/>
      <c r="H251" s="40"/>
      <c r="I251" s="40"/>
      <c r="J251" s="426"/>
      <c r="K251" s="426"/>
      <c r="L251" s="426"/>
      <c r="M251" s="2614">
        <f>M249*M250</f>
        <v>7520.625</v>
      </c>
      <c r="N251" s="2614">
        <f t="shared" ref="N251:O251" si="71">N249*N250</f>
        <v>7701.12</v>
      </c>
      <c r="O251" s="2614">
        <f t="shared" si="71"/>
        <v>7881.6150000000007</v>
      </c>
    </row>
    <row r="252" spans="1:15">
      <c r="A252" s="1055" t="s">
        <v>225</v>
      </c>
      <c r="B252" s="44" t="s">
        <v>173</v>
      </c>
      <c r="C252" s="112"/>
      <c r="D252" s="35"/>
      <c r="E252" s="35"/>
      <c r="F252" s="461"/>
      <c r="G252" s="35"/>
      <c r="H252" s="35"/>
      <c r="I252" s="35"/>
      <c r="J252" s="35"/>
      <c r="K252" s="35"/>
      <c r="L252" s="35"/>
      <c r="M252" s="1036"/>
      <c r="N252" s="1"/>
      <c r="O252" s="998"/>
    </row>
    <row r="253" spans="1:15">
      <c r="A253" s="1056" t="s">
        <v>226</v>
      </c>
      <c r="B253" s="103" t="s">
        <v>173</v>
      </c>
      <c r="C253" s="113"/>
      <c r="D253" s="36"/>
      <c r="E253" s="36"/>
      <c r="F253" s="1567"/>
      <c r="G253" s="36"/>
      <c r="H253" s="36"/>
      <c r="I253" s="36"/>
      <c r="J253" s="35"/>
      <c r="K253" s="35"/>
      <c r="L253" s="35"/>
      <c r="M253" s="1036"/>
      <c r="N253" s="1"/>
      <c r="O253" s="998"/>
    </row>
    <row r="254" spans="1:15">
      <c r="A254" s="1057"/>
      <c r="B254" s="110" t="s">
        <v>157</v>
      </c>
      <c r="C254" s="114" t="s">
        <v>11</v>
      </c>
      <c r="D254" s="109">
        <f>D251+D252+D253</f>
        <v>0</v>
      </c>
      <c r="E254" s="109">
        <f t="shared" ref="E254:O254" si="72">E251+E252+E253</f>
        <v>0</v>
      </c>
      <c r="F254" s="437">
        <f t="shared" si="72"/>
        <v>8426.7199999999993</v>
      </c>
      <c r="G254" s="109">
        <f t="shared" si="72"/>
        <v>0</v>
      </c>
      <c r="H254" s="109"/>
      <c r="I254" s="109"/>
      <c r="J254" s="109">
        <f t="shared" si="72"/>
        <v>0</v>
      </c>
      <c r="K254" s="109">
        <f t="shared" si="72"/>
        <v>0</v>
      </c>
      <c r="L254" s="109">
        <f t="shared" si="72"/>
        <v>0</v>
      </c>
      <c r="M254" s="2656">
        <f t="shared" si="72"/>
        <v>7520.625</v>
      </c>
      <c r="N254" s="2656">
        <f t="shared" si="72"/>
        <v>7701.12</v>
      </c>
      <c r="O254" s="2656">
        <f t="shared" si="72"/>
        <v>7881.6150000000007</v>
      </c>
    </row>
    <row r="255" spans="1:15">
      <c r="A255" s="1058" t="s">
        <v>287</v>
      </c>
      <c r="B255" s="74" t="s">
        <v>173</v>
      </c>
      <c r="C255" s="115"/>
      <c r="D255" s="108"/>
      <c r="E255" s="108"/>
      <c r="F255" s="418"/>
      <c r="G255" s="108"/>
      <c r="H255" s="108"/>
      <c r="I255" s="108"/>
      <c r="J255" s="108"/>
      <c r="K255" s="108"/>
      <c r="L255" s="108"/>
      <c r="M255" s="1036"/>
      <c r="N255" s="1"/>
      <c r="O255" s="998"/>
    </row>
    <row r="256" spans="1:15">
      <c r="A256" s="1037">
        <v>2</v>
      </c>
      <c r="B256" s="60" t="s">
        <v>283</v>
      </c>
      <c r="C256" s="92" t="s">
        <v>146</v>
      </c>
      <c r="D256" s="1"/>
      <c r="E256" s="1"/>
      <c r="F256" s="416"/>
      <c r="G256" s="1"/>
      <c r="H256" s="1"/>
      <c r="I256" s="1"/>
      <c r="J256" s="1"/>
      <c r="K256" s="1"/>
      <c r="L256" s="1"/>
      <c r="M256" s="1036"/>
      <c r="N256" s="1"/>
      <c r="O256" s="998"/>
    </row>
    <row r="257" spans="1:15">
      <c r="A257" s="1045" t="s">
        <v>52</v>
      </c>
      <c r="B257" s="60" t="s">
        <v>284</v>
      </c>
      <c r="C257" s="92" t="s">
        <v>143</v>
      </c>
      <c r="D257" s="1"/>
      <c r="E257" s="1"/>
      <c r="F257" s="416"/>
      <c r="G257" s="1"/>
      <c r="H257" s="1"/>
      <c r="I257" s="1"/>
      <c r="J257" s="1"/>
      <c r="K257" s="1"/>
      <c r="L257" s="1"/>
      <c r="M257" s="1036"/>
      <c r="N257" s="1"/>
      <c r="O257" s="998"/>
    </row>
    <row r="258" spans="1:15">
      <c r="A258" s="1046" t="s">
        <v>54</v>
      </c>
      <c r="B258" s="73" t="s">
        <v>286</v>
      </c>
      <c r="C258" s="90" t="s">
        <v>11</v>
      </c>
      <c r="D258" s="40">
        <f t="shared" ref="D258:E258" si="73">D256*D257</f>
        <v>0</v>
      </c>
      <c r="E258" s="40">
        <f t="shared" si="73"/>
        <v>0</v>
      </c>
      <c r="F258" s="433"/>
      <c r="G258" s="40"/>
      <c r="H258" s="40"/>
      <c r="I258" s="40"/>
      <c r="J258" s="40"/>
      <c r="K258" s="40"/>
      <c r="L258" s="40"/>
      <c r="M258" s="2652"/>
      <c r="N258" s="40"/>
      <c r="O258" s="997"/>
    </row>
    <row r="259" spans="1:15">
      <c r="A259" s="1055" t="s">
        <v>225</v>
      </c>
      <c r="B259" s="44" t="s">
        <v>173</v>
      </c>
      <c r="C259" s="112"/>
      <c r="D259" s="35"/>
      <c r="E259" s="35"/>
      <c r="F259" s="461"/>
      <c r="G259" s="35"/>
      <c r="H259" s="35"/>
      <c r="I259" s="35"/>
      <c r="J259" s="35"/>
      <c r="K259" s="35"/>
      <c r="L259" s="35"/>
      <c r="M259" s="1036"/>
      <c r="N259" s="1"/>
      <c r="O259" s="998"/>
    </row>
    <row r="260" spans="1:15">
      <c r="A260" s="1056" t="s">
        <v>226</v>
      </c>
      <c r="B260" s="103" t="s">
        <v>173</v>
      </c>
      <c r="C260" s="113"/>
      <c r="D260" s="36"/>
      <c r="E260" s="36"/>
      <c r="F260" s="1567"/>
      <c r="G260" s="36"/>
      <c r="H260" s="36"/>
      <c r="I260" s="36"/>
      <c r="J260" s="35"/>
      <c r="K260" s="35"/>
      <c r="L260" s="35"/>
      <c r="M260" s="1036"/>
      <c r="N260" s="1"/>
      <c r="O260" s="998"/>
    </row>
    <row r="261" spans="1:15" ht="15.75" thickBot="1">
      <c r="A261" s="1057"/>
      <c r="B261" s="110" t="s">
        <v>157</v>
      </c>
      <c r="C261" s="114" t="s">
        <v>11</v>
      </c>
      <c r="D261" s="109">
        <f t="shared" ref="D261:E261" si="74">D258+D259+D260</f>
        <v>0</v>
      </c>
      <c r="E261" s="109">
        <f t="shared" si="74"/>
        <v>0</v>
      </c>
      <c r="F261" s="437"/>
      <c r="G261" s="109"/>
      <c r="H261" s="109"/>
      <c r="I261" s="109"/>
      <c r="J261" s="109"/>
      <c r="K261" s="109"/>
      <c r="L261" s="109"/>
      <c r="M261" s="2653"/>
      <c r="N261" s="2654"/>
      <c r="O261" s="2655"/>
    </row>
    <row r="262" spans="1:15" ht="15.75" thickBot="1">
      <c r="A262" s="111"/>
      <c r="B262" s="77" t="s">
        <v>157</v>
      </c>
      <c r="C262" s="80"/>
      <c r="D262" s="77">
        <f>D254+D261</f>
        <v>0</v>
      </c>
      <c r="E262" s="77">
        <f t="shared" ref="E262:F262" si="75">E254+E261</f>
        <v>0</v>
      </c>
      <c r="F262" s="430">
        <f t="shared" si="75"/>
        <v>8426.7199999999993</v>
      </c>
      <c r="G262" s="77"/>
      <c r="H262" s="382"/>
      <c r="I262" s="382"/>
      <c r="J262" s="444">
        <f>J251</f>
        <v>0</v>
      </c>
      <c r="K262" s="1566"/>
      <c r="L262" s="1566"/>
      <c r="M262" s="430">
        <f>M254+M261</f>
        <v>7520.625</v>
      </c>
      <c r="N262" s="430">
        <f t="shared" ref="N262:O262" si="76">N254+N261</f>
        <v>7701.12</v>
      </c>
      <c r="O262" s="430">
        <f t="shared" si="76"/>
        <v>7881.6150000000007</v>
      </c>
    </row>
    <row r="264" spans="1:15">
      <c r="A264" s="363" t="s">
        <v>529</v>
      </c>
      <c r="B264" s="363"/>
      <c r="C264" s="363"/>
      <c r="D264" s="363"/>
      <c r="E264" s="363"/>
      <c r="F264" s="363"/>
      <c r="G264" s="363"/>
      <c r="H264" s="363"/>
      <c r="I264" s="363"/>
      <c r="J264" s="363"/>
      <c r="K264" s="363"/>
      <c r="L264" s="363"/>
    </row>
    <row r="266" spans="1:15" ht="15.75" thickBot="1">
      <c r="A266" s="57" t="s">
        <v>530</v>
      </c>
      <c r="B266" s="57"/>
      <c r="C266" s="57"/>
    </row>
    <row r="267" spans="1:15" ht="15.75" thickBot="1">
      <c r="A267" s="3389" t="s">
        <v>0</v>
      </c>
      <c r="B267" s="3389" t="s">
        <v>1</v>
      </c>
      <c r="C267" s="3389" t="s">
        <v>2</v>
      </c>
      <c r="D267" s="3432" t="s">
        <v>165</v>
      </c>
      <c r="E267" s="3433"/>
      <c r="F267" s="3433"/>
      <c r="G267" s="3433"/>
      <c r="H267" s="3433"/>
      <c r="I267" s="3433"/>
      <c r="J267" s="3433"/>
      <c r="K267" s="1553"/>
      <c r="L267" s="1553"/>
      <c r="M267" s="3439" t="s">
        <v>1460</v>
      </c>
      <c r="N267" s="3440"/>
      <c r="O267" s="3441"/>
    </row>
    <row r="268" spans="1:15" ht="15.75" customHeight="1" thickBot="1">
      <c r="A268" s="3401"/>
      <c r="B268" s="3401"/>
      <c r="C268" s="3401"/>
      <c r="D268" s="3461" t="s">
        <v>1103</v>
      </c>
      <c r="E268" s="3461"/>
      <c r="F268" s="3462">
        <v>2015</v>
      </c>
      <c r="G268" s="3463"/>
      <c r="H268" s="3389" t="s">
        <v>1375</v>
      </c>
      <c r="I268" s="3389" t="s">
        <v>1376</v>
      </c>
      <c r="J268" s="3420" t="s">
        <v>394</v>
      </c>
      <c r="K268" s="3420" t="s">
        <v>1154</v>
      </c>
      <c r="L268" s="3420" t="s">
        <v>1155</v>
      </c>
      <c r="M268" s="3442"/>
      <c r="N268" s="3443"/>
      <c r="O268" s="3444"/>
    </row>
    <row r="269" spans="1:15" ht="27.75" customHeight="1" thickBot="1">
      <c r="A269" s="3390"/>
      <c r="B269" s="3390"/>
      <c r="C269" s="3390"/>
      <c r="D269" s="1556" t="s">
        <v>5</v>
      </c>
      <c r="E269" s="4" t="s">
        <v>6</v>
      </c>
      <c r="F269" s="1490" t="s">
        <v>7</v>
      </c>
      <c r="G269" s="1490" t="s">
        <v>8</v>
      </c>
      <c r="H269" s="3390"/>
      <c r="I269" s="3390"/>
      <c r="J269" s="3421"/>
      <c r="K269" s="3421"/>
      <c r="L269" s="3421"/>
      <c r="M269" s="2541">
        <v>2016</v>
      </c>
      <c r="N269" s="2541">
        <v>2017</v>
      </c>
      <c r="O269" s="2541">
        <v>2018</v>
      </c>
    </row>
    <row r="270" spans="1:15">
      <c r="A270" s="534">
        <v>1</v>
      </c>
      <c r="B270" s="1149">
        <v>2</v>
      </c>
      <c r="C270" s="1149">
        <v>3</v>
      </c>
      <c r="D270" s="3">
        <v>4</v>
      </c>
      <c r="E270" s="3">
        <v>5</v>
      </c>
      <c r="F270" s="3">
        <v>6</v>
      </c>
      <c r="G270" s="3">
        <v>7</v>
      </c>
      <c r="H270" s="3"/>
      <c r="I270" s="3"/>
      <c r="J270" s="3">
        <v>8</v>
      </c>
      <c r="K270" s="26">
        <v>9</v>
      </c>
      <c r="L270" s="26">
        <v>10</v>
      </c>
      <c r="M270" s="2633">
        <v>11</v>
      </c>
      <c r="N270" s="2634">
        <v>12</v>
      </c>
      <c r="O270" s="2635">
        <v>13</v>
      </c>
    </row>
    <row r="271" spans="1:15" ht="30">
      <c r="A271" s="1037">
        <v>1</v>
      </c>
      <c r="B271" s="60" t="s">
        <v>613</v>
      </c>
      <c r="C271" s="60" t="s">
        <v>11</v>
      </c>
      <c r="D271" s="416">
        <f>1260328.74*0.96*0.6/8*12/1000*1.12</f>
        <v>1219.5949151232001</v>
      </c>
      <c r="E271" s="416">
        <f>'расшифровка кредитов'!C83</f>
        <v>766.03851294279991</v>
      </c>
      <c r="F271" s="416">
        <v>0</v>
      </c>
      <c r="G271" s="416">
        <f>'расшифровка кредитов'!D83</f>
        <v>0</v>
      </c>
      <c r="H271" s="416"/>
      <c r="I271" s="416"/>
      <c r="J271" s="416">
        <f>'расшифровка кредитов'!E83</f>
        <v>0</v>
      </c>
      <c r="K271" s="416">
        <f>'расшифровка кредитов'!F83</f>
        <v>0</v>
      </c>
      <c r="L271" s="416">
        <f>'расшифровка кредитов'!G83</f>
        <v>0</v>
      </c>
      <c r="M271" s="1604">
        <f t="shared" ref="M271:M276" si="77">J271</f>
        <v>0</v>
      </c>
      <c r="N271" s="1604">
        <f t="shared" ref="N271:O274" si="78">K271</f>
        <v>0</v>
      </c>
      <c r="O271" s="1604">
        <f t="shared" si="78"/>
        <v>0</v>
      </c>
    </row>
    <row r="272" spans="1:15" ht="30">
      <c r="A272" s="1037">
        <v>2</v>
      </c>
      <c r="B272" s="60" t="s">
        <v>612</v>
      </c>
      <c r="C272" s="60" t="s">
        <v>11</v>
      </c>
      <c r="D272" s="416">
        <f>1206815.74*0.96*0.6/8*12/1000*1.2</f>
        <v>1251.2265592319998</v>
      </c>
      <c r="E272" s="416">
        <f>'расшифровка кредитов'!C84</f>
        <v>719.05535603219994</v>
      </c>
      <c r="F272" s="416">
        <v>0</v>
      </c>
      <c r="G272" s="416">
        <f>'расшифровка кредитов'!D84</f>
        <v>0</v>
      </c>
      <c r="H272" s="416"/>
      <c r="I272" s="416"/>
      <c r="J272" s="416">
        <f>'расшифровка кредитов'!E84</f>
        <v>0</v>
      </c>
      <c r="K272" s="416">
        <f>'расшифровка кредитов'!F84</f>
        <v>0</v>
      </c>
      <c r="L272" s="416">
        <f>'расшифровка кредитов'!G84</f>
        <v>0</v>
      </c>
      <c r="M272" s="1604">
        <f t="shared" si="77"/>
        <v>0</v>
      </c>
      <c r="N272" s="1604">
        <f t="shared" si="78"/>
        <v>0</v>
      </c>
      <c r="O272" s="1604">
        <f t="shared" si="78"/>
        <v>0</v>
      </c>
    </row>
    <row r="273" spans="1:15" ht="30">
      <c r="A273" s="1037">
        <v>3</v>
      </c>
      <c r="B273" s="60" t="s">
        <v>614</v>
      </c>
      <c r="C273" s="60" t="s">
        <v>11</v>
      </c>
      <c r="D273" s="416">
        <f>3512655.6*0.96*0.6/8*12/1000*1.1</f>
        <v>3338.4278822400001</v>
      </c>
      <c r="E273" s="416">
        <f>'расшифровка кредитов'!C86</f>
        <v>4057.2889161201997</v>
      </c>
      <c r="F273" s="416">
        <v>3034.9344384000001</v>
      </c>
      <c r="G273" s="416">
        <f>'расшифровка кредитов'!D86</f>
        <v>11125.334999999999</v>
      </c>
      <c r="H273" s="416">
        <f>'расшифровка кредитов'!H86/1000</f>
        <v>4576.659006069699</v>
      </c>
      <c r="I273" s="416">
        <f>'расшифровка кредитов'!I86/1000</f>
        <v>4728.9919982691263</v>
      </c>
      <c r="J273" s="2637">
        <f>'расшифровка кредитов'!J86/1000</f>
        <v>7369.3458333333338</v>
      </c>
      <c r="K273" s="416">
        <f>'расшифровка кредитов'!K86/1000</f>
        <v>0</v>
      </c>
      <c r="L273" s="416">
        <f>'расшифровка кредитов'!L86/1000</f>
        <v>0</v>
      </c>
      <c r="M273" s="1711">
        <f t="shared" si="77"/>
        <v>7369.3458333333338</v>
      </c>
      <c r="N273" s="416">
        <f t="shared" si="78"/>
        <v>0</v>
      </c>
      <c r="O273" s="1030">
        <f t="shared" si="78"/>
        <v>0</v>
      </c>
    </row>
    <row r="274" spans="1:15" ht="30">
      <c r="A274" s="75">
        <v>4</v>
      </c>
      <c r="B274" s="60" t="s">
        <v>615</v>
      </c>
      <c r="C274" s="60" t="s">
        <v>11</v>
      </c>
      <c r="D274" s="416">
        <f>170198.79*0.6*0.96/1*12/1000*1.1+31</f>
        <v>1325.0554401280001</v>
      </c>
      <c r="E274" s="416">
        <f>'расшифровка кредитов'!C85</f>
        <v>978.59397162979985</v>
      </c>
      <c r="F274" s="416">
        <v>1176.41403648</v>
      </c>
      <c r="G274" s="416">
        <f>'расшифровка кредитов'!D85</f>
        <v>1021.8689012926831</v>
      </c>
      <c r="H274" s="416">
        <f>'расшифровка кредитов'!H85/1000</f>
        <v>653.22195067990003</v>
      </c>
      <c r="I274" s="416">
        <f>'расшифровка кредитов'!I85/1000</f>
        <v>108.87032511331667</v>
      </c>
      <c r="J274" s="416">
        <f>'расшифровка кредитов'!J85/1000</f>
        <v>0</v>
      </c>
      <c r="K274" s="416">
        <f>'расшифровка кредитов'!K85/1000</f>
        <v>0</v>
      </c>
      <c r="L274" s="416">
        <f>'расшифровка кредитов'!L85/1000</f>
        <v>0</v>
      </c>
      <c r="M274" s="1604">
        <f t="shared" si="77"/>
        <v>0</v>
      </c>
      <c r="N274" s="1604">
        <f t="shared" si="78"/>
        <v>0</v>
      </c>
      <c r="O274" s="1604">
        <f t="shared" si="78"/>
        <v>0</v>
      </c>
    </row>
    <row r="275" spans="1:15">
      <c r="A275" s="75">
        <v>5</v>
      </c>
      <c r="B275" s="438" t="s">
        <v>616</v>
      </c>
      <c r="C275" s="438" t="s">
        <v>11</v>
      </c>
      <c r="D275" s="2005"/>
      <c r="E275" s="416">
        <f>'расшифровка кредитов'!C90</f>
        <v>72.42355744519999</v>
      </c>
      <c r="F275" s="416">
        <v>11059.199999999999</v>
      </c>
      <c r="G275" s="416">
        <f>'расшифровка кредитов'!D90</f>
        <v>6717.990749999999</v>
      </c>
      <c r="H275" s="416">
        <f>'расшифровка кредитов'!H90/1000</f>
        <v>2566.7343561773996</v>
      </c>
      <c r="I275" s="416">
        <f>'расшифровка кредитов'!I90/1000</f>
        <v>7912.7723967253442</v>
      </c>
      <c r="J275" s="2637">
        <f>'расшифровка кредитов'!J90/1000</f>
        <v>15244.561599999999</v>
      </c>
      <c r="K275" s="2637">
        <f>'расшифровка кредитов'!K90/1000</f>
        <v>11084.6847375</v>
      </c>
      <c r="L275" s="2637">
        <f>'расшифровка кредитов'!L90/1000</f>
        <v>5542.3423687499999</v>
      </c>
      <c r="M275" s="1604">
        <f>J275-1700</f>
        <v>13544.561599999999</v>
      </c>
      <c r="N275" s="1604">
        <f>K275+1700</f>
        <v>12784.6847375</v>
      </c>
      <c r="O275" s="1604">
        <f>L275</f>
        <v>5542.3423687499999</v>
      </c>
    </row>
    <row r="276" spans="1:15">
      <c r="A276" s="75">
        <v>6</v>
      </c>
      <c r="B276" s="438" t="s">
        <v>1372</v>
      </c>
      <c r="C276" s="438" t="s">
        <v>11</v>
      </c>
      <c r="D276" s="2005"/>
      <c r="E276" s="416"/>
      <c r="F276" s="416"/>
      <c r="G276" s="416"/>
      <c r="H276" s="416">
        <f>'расшифровка кредитов'!H91/1000</f>
        <v>0</v>
      </c>
      <c r="I276" s="416">
        <f>'расшифровка кредитов'!I91/1000</f>
        <v>1473.8691666666668</v>
      </c>
      <c r="J276" s="2637">
        <f>'расшифровка кредитов'!J91/1000</f>
        <v>1916.0299166666668</v>
      </c>
      <c r="K276" s="2637">
        <f>'расшифровка кредитов'!K91/1000</f>
        <v>0</v>
      </c>
      <c r="L276" s="2637">
        <f>'расшифровка кредитов'!L91/1000</f>
        <v>0</v>
      </c>
      <c r="M276" s="1604">
        <f t="shared" si="77"/>
        <v>1916.0299166666668</v>
      </c>
      <c r="N276" s="1604">
        <f>K276</f>
        <v>0</v>
      </c>
      <c r="O276" s="1604">
        <f>L276</f>
        <v>0</v>
      </c>
    </row>
    <row r="277" spans="1:15" ht="15.75" thickBot="1">
      <c r="A277" s="2006"/>
      <c r="B277" s="382" t="s">
        <v>157</v>
      </c>
      <c r="C277" s="1779" t="s">
        <v>11</v>
      </c>
      <c r="D277" s="444">
        <f>SUM(D271:D275)</f>
        <v>7134.3047967231996</v>
      </c>
      <c r="E277" s="444">
        <f t="shared" ref="E277:G277" si="79">SUM(E271:E275)</f>
        <v>6593.4003141701987</v>
      </c>
      <c r="F277" s="444">
        <f>SUM(F271:F275)</f>
        <v>15270.548474879999</v>
      </c>
      <c r="G277" s="444">
        <f t="shared" si="79"/>
        <v>18865.194651292681</v>
      </c>
      <c r="H277" s="444">
        <f>SUM(H271:H276)</f>
        <v>7796.6153129269987</v>
      </c>
      <c r="I277" s="444">
        <f t="shared" ref="I277:O277" si="80">SUM(I271:I276)</f>
        <v>14224.503886774455</v>
      </c>
      <c r="J277" s="444">
        <f t="shared" si="80"/>
        <v>24529.93735</v>
      </c>
      <c r="K277" s="444">
        <f t="shared" si="80"/>
        <v>11084.6847375</v>
      </c>
      <c r="L277" s="444">
        <f t="shared" si="80"/>
        <v>5542.3423687499999</v>
      </c>
      <c r="M277" s="2636">
        <f t="shared" si="80"/>
        <v>22829.93735</v>
      </c>
      <c r="N277" s="444">
        <f t="shared" si="80"/>
        <v>12784.6847375</v>
      </c>
      <c r="O277" s="2004">
        <f t="shared" si="80"/>
        <v>5542.3423687499999</v>
      </c>
    </row>
    <row r="278" spans="1:15">
      <c r="A278" s="116"/>
      <c r="B278" s="117"/>
      <c r="C278" s="118"/>
      <c r="D278" s="117"/>
      <c r="E278" s="117"/>
      <c r="F278" s="117"/>
      <c r="G278" s="117"/>
      <c r="H278" s="117"/>
      <c r="I278" s="117"/>
      <c r="J278" s="117"/>
    </row>
    <row r="279" spans="1:15">
      <c r="A279" s="364" t="s">
        <v>531</v>
      </c>
      <c r="B279" s="365"/>
      <c r="C279" s="366"/>
      <c r="D279" s="365"/>
      <c r="E279" s="117"/>
      <c r="F279" s="117"/>
      <c r="G279" s="117"/>
      <c r="H279" s="117"/>
      <c r="I279" s="3449" t="s">
        <v>1660</v>
      </c>
      <c r="J279" s="3449"/>
      <c r="K279" s="3449"/>
      <c r="L279" s="3449"/>
    </row>
    <row r="280" spans="1:15">
      <c r="A280" s="364"/>
      <c r="B280" s="365"/>
      <c r="C280" s="366"/>
      <c r="D280" s="365"/>
      <c r="E280" s="117"/>
      <c r="F280" s="117"/>
      <c r="G280" s="117"/>
      <c r="H280" s="117"/>
      <c r="I280" s="117"/>
      <c r="J280" s="117"/>
    </row>
    <row r="281" spans="1:15" ht="17.25" customHeight="1" thickBot="1">
      <c r="A281" s="57" t="s">
        <v>532</v>
      </c>
      <c r="B281" s="58"/>
      <c r="C281" s="57"/>
      <c r="D281" s="117"/>
      <c r="E281" s="117"/>
      <c r="F281" s="117"/>
      <c r="G281" s="117"/>
      <c r="H281" s="117"/>
      <c r="I281" s="117"/>
      <c r="J281" s="117"/>
    </row>
    <row r="282" spans="1:15" ht="15.75" thickBot="1">
      <c r="A282" s="3389" t="s">
        <v>0</v>
      </c>
      <c r="B282" s="3389" t="s">
        <v>1</v>
      </c>
      <c r="C282" s="3389" t="s">
        <v>2</v>
      </c>
      <c r="D282" s="3432" t="s">
        <v>165</v>
      </c>
      <c r="E282" s="3433"/>
      <c r="F282" s="3433"/>
      <c r="G282" s="3433"/>
      <c r="H282" s="3433"/>
      <c r="I282" s="3433"/>
      <c r="J282" s="3433"/>
      <c r="K282" s="1553"/>
      <c r="L282" s="1553"/>
      <c r="M282" s="3439" t="s">
        <v>1460</v>
      </c>
      <c r="N282" s="3440"/>
      <c r="O282" s="3441"/>
    </row>
    <row r="283" spans="1:15" ht="15.75" customHeight="1" thickBot="1">
      <c r="A283" s="3401"/>
      <c r="B283" s="3401"/>
      <c r="C283" s="3401"/>
      <c r="D283" s="3455" t="s">
        <v>1103</v>
      </c>
      <c r="E283" s="3456"/>
      <c r="F283" s="3416">
        <v>2015</v>
      </c>
      <c r="G283" s="3417"/>
      <c r="H283" s="3389" t="s">
        <v>1375</v>
      </c>
      <c r="I283" s="3389" t="s">
        <v>1376</v>
      </c>
      <c r="J283" s="3436" t="s">
        <v>394</v>
      </c>
      <c r="K283" s="3436" t="s">
        <v>1154</v>
      </c>
      <c r="L283" s="3436" t="s">
        <v>1155</v>
      </c>
      <c r="M283" s="3442"/>
      <c r="N283" s="3443"/>
      <c r="O283" s="3444"/>
    </row>
    <row r="284" spans="1:15" ht="26.25" customHeight="1" thickBot="1">
      <c r="A284" s="3401"/>
      <c r="B284" s="3401"/>
      <c r="C284" s="3401"/>
      <c r="D284" s="1573" t="s">
        <v>5</v>
      </c>
      <c r="E284" s="1575" t="s">
        <v>6</v>
      </c>
      <c r="F284" s="1575" t="s">
        <v>7</v>
      </c>
      <c r="G284" s="1575" t="s">
        <v>8</v>
      </c>
      <c r="H284" s="3390"/>
      <c r="I284" s="3390"/>
      <c r="J284" s="3438"/>
      <c r="K284" s="3438"/>
      <c r="L284" s="3438"/>
      <c r="M284" s="2620">
        <v>2016</v>
      </c>
      <c r="N284" s="2620">
        <v>2017</v>
      </c>
      <c r="O284" s="2620">
        <v>2018</v>
      </c>
    </row>
    <row r="285" spans="1:15" ht="15.75" thickBot="1">
      <c r="A285" s="1582">
        <v>1</v>
      </c>
      <c r="B285" s="5">
        <v>2</v>
      </c>
      <c r="C285" s="5">
        <v>3</v>
      </c>
      <c r="D285" s="5">
        <v>4</v>
      </c>
      <c r="E285" s="5">
        <v>5</v>
      </c>
      <c r="F285" s="5">
        <v>6</v>
      </c>
      <c r="G285" s="5">
        <v>7</v>
      </c>
      <c r="H285" s="5"/>
      <c r="I285" s="5"/>
      <c r="J285" s="5">
        <v>8</v>
      </c>
      <c r="K285" s="1234">
        <v>9</v>
      </c>
      <c r="L285" s="2761">
        <v>10</v>
      </c>
      <c r="M285" s="2762">
        <v>11</v>
      </c>
      <c r="N285" s="2763">
        <v>12</v>
      </c>
      <c r="O285" s="2764">
        <v>13</v>
      </c>
    </row>
    <row r="286" spans="1:15" ht="30">
      <c r="A286" s="1584">
        <v>1</v>
      </c>
      <c r="B286" s="45" t="s">
        <v>1688</v>
      </c>
      <c r="C286" s="1585" t="s">
        <v>11</v>
      </c>
      <c r="D286" s="46">
        <v>2485.4</v>
      </c>
      <c r="E286" s="46">
        <v>0</v>
      </c>
      <c r="F286" s="46">
        <v>0</v>
      </c>
      <c r="G286" s="46">
        <v>0</v>
      </c>
      <c r="H286" s="46"/>
      <c r="I286" s="46"/>
      <c r="J286" s="46">
        <v>2677.5</v>
      </c>
      <c r="K286" s="46">
        <v>2701.23</v>
      </c>
      <c r="L286" s="46">
        <v>2985.36</v>
      </c>
      <c r="M286" s="46">
        <f>J286</f>
        <v>2677.5</v>
      </c>
      <c r="N286" s="46"/>
      <c r="O286" s="46"/>
    </row>
    <row r="287" spans="1:15" ht="30">
      <c r="A287" s="1064">
        <v>2</v>
      </c>
      <c r="B287" s="72" t="s">
        <v>46</v>
      </c>
      <c r="C287" s="99" t="s">
        <v>11</v>
      </c>
      <c r="D287" s="426">
        <v>2300</v>
      </c>
      <c r="E287" s="426"/>
      <c r="F287" s="426">
        <f t="shared" ref="F287:J287" si="81">F288+F289+F290</f>
        <v>0</v>
      </c>
      <c r="G287" s="426">
        <f t="shared" si="81"/>
        <v>0</v>
      </c>
      <c r="H287" s="426"/>
      <c r="I287" s="426"/>
      <c r="J287" s="426">
        <f t="shared" si="81"/>
        <v>0</v>
      </c>
      <c r="K287" s="426"/>
      <c r="L287" s="426"/>
      <c r="M287" s="426"/>
      <c r="N287" s="426"/>
      <c r="O287" s="426"/>
    </row>
    <row r="288" spans="1:15">
      <c r="A288" s="1065" t="s">
        <v>52</v>
      </c>
      <c r="B288" s="60" t="s">
        <v>258</v>
      </c>
      <c r="C288" s="119" t="s">
        <v>11</v>
      </c>
      <c r="D288" s="448">
        <v>2300</v>
      </c>
      <c r="E288" s="448"/>
      <c r="F288" s="448"/>
      <c r="G288" s="448"/>
      <c r="H288" s="448"/>
      <c r="I288" s="448"/>
      <c r="J288" s="448"/>
      <c r="K288" s="448"/>
      <c r="L288" s="448"/>
      <c r="M288" s="1036"/>
      <c r="N288" s="1"/>
      <c r="O288" s="998"/>
    </row>
    <row r="289" spans="1:15" hidden="1">
      <c r="A289" s="1065" t="s">
        <v>54</v>
      </c>
      <c r="B289" s="60"/>
      <c r="C289" s="119" t="s">
        <v>11</v>
      </c>
      <c r="D289" s="108"/>
      <c r="E289" s="108"/>
      <c r="F289" s="108"/>
      <c r="G289" s="108"/>
      <c r="H289" s="108"/>
      <c r="I289" s="108"/>
      <c r="J289" s="108"/>
      <c r="K289" s="108"/>
      <c r="L289" s="108"/>
      <c r="M289" s="1036"/>
      <c r="N289" s="1"/>
      <c r="O289" s="998"/>
    </row>
    <row r="290" spans="1:15" hidden="1">
      <c r="A290" s="1065" t="s">
        <v>56</v>
      </c>
      <c r="B290" s="60"/>
      <c r="C290" s="119" t="s">
        <v>11</v>
      </c>
      <c r="D290" s="108"/>
      <c r="E290" s="108"/>
      <c r="F290" s="108"/>
      <c r="G290" s="108"/>
      <c r="H290" s="108"/>
      <c r="I290" s="108"/>
      <c r="J290" s="108"/>
      <c r="K290" s="108"/>
      <c r="L290" s="108"/>
      <c r="M290" s="1036"/>
      <c r="N290" s="1"/>
      <c r="O290" s="998"/>
    </row>
    <row r="291" spans="1:15" ht="60">
      <c r="A291" s="1064">
        <v>3</v>
      </c>
      <c r="B291" s="72" t="s">
        <v>1669</v>
      </c>
      <c r="C291" s="99" t="s">
        <v>11</v>
      </c>
      <c r="D291" s="426">
        <v>1000</v>
      </c>
      <c r="E291" s="426">
        <f>(145.972+1718.28+18.00724722+3878.9)*0.97*0.59</f>
        <v>3297.1114371840054</v>
      </c>
      <c r="F291" s="426">
        <v>1583.56</v>
      </c>
      <c r="G291" s="2658">
        <v>2805</v>
      </c>
      <c r="H291" s="426">
        <f>510.2*0.96*0.59+11.1*0.96*0.59+952.365*0.96*0.59+84.7*0.96*0.59+20.652*0.96*0.59+63.4*0.96*0.59+68.1*0.96*0.59+36.5*0.96*0.59+98.3*0.96*0.59+11.1*0.96*0.59</f>
        <v>1051.4745887999998</v>
      </c>
      <c r="I291" s="426">
        <f>H291*2</f>
        <v>2102.9491775999995</v>
      </c>
      <c r="J291" s="426">
        <f>I291*1.045</f>
        <v>2197.5818905919996</v>
      </c>
      <c r="K291" s="426">
        <f>J291*1.043</f>
        <v>2292.0779118874552</v>
      </c>
      <c r="L291" s="426">
        <f>K291*1.043</f>
        <v>2390.6372620986158</v>
      </c>
      <c r="M291" s="426">
        <v>2102.9499999999998</v>
      </c>
      <c r="N291" s="426"/>
      <c r="O291" s="426"/>
    </row>
    <row r="292" spans="1:15" ht="30" hidden="1">
      <c r="A292" s="1064">
        <v>4</v>
      </c>
      <c r="B292" s="72" t="s">
        <v>49</v>
      </c>
      <c r="C292" s="99" t="s">
        <v>11</v>
      </c>
      <c r="D292" s="426">
        <v>0</v>
      </c>
      <c r="E292" s="426"/>
      <c r="F292" s="426">
        <f t="shared" ref="F292:J292" si="82">(F293+F296+F299)+F303</f>
        <v>0</v>
      </c>
      <c r="G292" s="426">
        <f t="shared" si="82"/>
        <v>0</v>
      </c>
      <c r="H292" s="426">
        <f t="shared" si="82"/>
        <v>0</v>
      </c>
      <c r="I292" s="426">
        <f t="shared" si="82"/>
        <v>0</v>
      </c>
      <c r="J292" s="426">
        <f t="shared" si="82"/>
        <v>0</v>
      </c>
      <c r="K292" s="426"/>
      <c r="L292" s="426"/>
      <c r="M292" s="426"/>
      <c r="N292" s="426"/>
      <c r="O292" s="426"/>
    </row>
    <row r="293" spans="1:15" hidden="1">
      <c r="A293" s="1065" t="s">
        <v>172</v>
      </c>
      <c r="B293" s="60"/>
      <c r="C293" s="119" t="s">
        <v>11</v>
      </c>
      <c r="D293" s="108">
        <v>0</v>
      </c>
      <c r="E293" s="108"/>
      <c r="F293" s="108">
        <f t="shared" ref="F293:J293" si="83">(F295*F294*12)/1000</f>
        <v>0</v>
      </c>
      <c r="G293" s="108">
        <f t="shared" si="83"/>
        <v>0</v>
      </c>
      <c r="H293" s="108"/>
      <c r="I293" s="108"/>
      <c r="J293" s="108">
        <f t="shared" si="83"/>
        <v>0</v>
      </c>
      <c r="K293" s="108"/>
      <c r="L293" s="108"/>
      <c r="M293" s="1036"/>
      <c r="N293" s="1"/>
      <c r="O293" s="998"/>
    </row>
    <row r="294" spans="1:15" hidden="1">
      <c r="A294" s="1067" t="s">
        <v>265</v>
      </c>
      <c r="B294" s="60" t="s">
        <v>288</v>
      </c>
      <c r="C294" s="119" t="s">
        <v>289</v>
      </c>
      <c r="D294" s="108"/>
      <c r="E294" s="108"/>
      <c r="F294" s="108"/>
      <c r="G294" s="108"/>
      <c r="H294" s="108"/>
      <c r="I294" s="108"/>
      <c r="J294" s="108"/>
      <c r="K294" s="108"/>
      <c r="L294" s="108"/>
      <c r="M294" s="1036"/>
      <c r="N294" s="1"/>
      <c r="O294" s="998"/>
    </row>
    <row r="295" spans="1:15" ht="17.25" hidden="1" customHeight="1">
      <c r="A295" s="1067" t="s">
        <v>266</v>
      </c>
      <c r="B295" s="60" t="s">
        <v>290</v>
      </c>
      <c r="C295" s="119" t="s">
        <v>291</v>
      </c>
      <c r="D295" s="108"/>
      <c r="E295" s="108"/>
      <c r="F295" s="108"/>
      <c r="G295" s="108"/>
      <c r="H295" s="108"/>
      <c r="I295" s="108"/>
      <c r="J295" s="108"/>
      <c r="K295" s="108"/>
      <c r="L295" s="108"/>
      <c r="M295" s="1036"/>
      <c r="N295" s="1"/>
      <c r="O295" s="998"/>
    </row>
    <row r="296" spans="1:15" hidden="1">
      <c r="A296" s="1055" t="s">
        <v>225</v>
      </c>
      <c r="B296" s="60"/>
      <c r="C296" s="119" t="s">
        <v>11</v>
      </c>
      <c r="D296" s="108">
        <v>0</v>
      </c>
      <c r="E296" s="108"/>
      <c r="F296" s="108">
        <f t="shared" ref="F296:J296" si="84">(F298*F297*12)/1000</f>
        <v>0</v>
      </c>
      <c r="G296" s="108">
        <f t="shared" si="84"/>
        <v>0</v>
      </c>
      <c r="H296" s="108"/>
      <c r="I296" s="108"/>
      <c r="J296" s="108">
        <f t="shared" si="84"/>
        <v>0</v>
      </c>
      <c r="K296" s="108"/>
      <c r="L296" s="108"/>
      <c r="M296" s="1036"/>
      <c r="N296" s="1"/>
      <c r="O296" s="998"/>
    </row>
    <row r="297" spans="1:15" hidden="1">
      <c r="A297" s="1056"/>
      <c r="B297" s="60" t="s">
        <v>288</v>
      </c>
      <c r="C297" s="119" t="s">
        <v>289</v>
      </c>
      <c r="D297" s="121"/>
      <c r="E297" s="121"/>
      <c r="F297" s="121"/>
      <c r="G297" s="121"/>
      <c r="H297" s="121"/>
      <c r="I297" s="121"/>
      <c r="J297" s="108"/>
      <c r="K297" s="108"/>
      <c r="L297" s="108"/>
      <c r="M297" s="1036"/>
      <c r="N297" s="1"/>
      <c r="O297" s="998"/>
    </row>
    <row r="298" spans="1:15" ht="19.5" hidden="1" customHeight="1">
      <c r="A298" s="1056"/>
      <c r="B298" s="60" t="s">
        <v>290</v>
      </c>
      <c r="C298" s="119" t="s">
        <v>291</v>
      </c>
      <c r="D298" s="121"/>
      <c r="E298" s="121"/>
      <c r="F298" s="121"/>
      <c r="G298" s="121"/>
      <c r="H298" s="121"/>
      <c r="I298" s="121"/>
      <c r="J298" s="108"/>
      <c r="K298" s="108"/>
      <c r="L298" s="108"/>
      <c r="M298" s="1036"/>
      <c r="N298" s="1"/>
      <c r="O298" s="998"/>
    </row>
    <row r="299" spans="1:15" hidden="1">
      <c r="A299" s="1056" t="s">
        <v>226</v>
      </c>
      <c r="B299" s="60"/>
      <c r="C299" s="119" t="s">
        <v>11</v>
      </c>
      <c r="D299" s="108">
        <v>0</v>
      </c>
      <c r="E299" s="108"/>
      <c r="F299" s="108">
        <f t="shared" ref="F299:J299" si="85">(F301*F300*12)/1000</f>
        <v>0</v>
      </c>
      <c r="G299" s="108">
        <f t="shared" si="85"/>
        <v>0</v>
      </c>
      <c r="H299" s="108"/>
      <c r="I299" s="108"/>
      <c r="J299" s="108">
        <f t="shared" si="85"/>
        <v>0</v>
      </c>
      <c r="K299" s="108"/>
      <c r="L299" s="108"/>
      <c r="M299" s="1036"/>
      <c r="N299" s="1"/>
      <c r="O299" s="998"/>
    </row>
    <row r="300" spans="1:15" hidden="1">
      <c r="A300" s="1055"/>
      <c r="B300" s="60" t="s">
        <v>288</v>
      </c>
      <c r="C300" s="119" t="s">
        <v>289</v>
      </c>
      <c r="D300" s="121"/>
      <c r="E300" s="121"/>
      <c r="F300" s="121"/>
      <c r="G300" s="121"/>
      <c r="H300" s="121"/>
      <c r="I300" s="121"/>
      <c r="J300" s="108"/>
      <c r="K300" s="108"/>
      <c r="L300" s="108"/>
      <c r="M300" s="1036"/>
      <c r="N300" s="1"/>
      <c r="O300" s="998"/>
    </row>
    <row r="301" spans="1:15" ht="15" hidden="1" customHeight="1">
      <c r="A301" s="1040"/>
      <c r="B301" s="127" t="s">
        <v>290</v>
      </c>
      <c r="C301" s="988" t="s">
        <v>291</v>
      </c>
      <c r="D301" s="121"/>
      <c r="E301" s="121"/>
      <c r="F301" s="121"/>
      <c r="G301" s="121"/>
      <c r="H301" s="121"/>
      <c r="I301" s="121"/>
      <c r="J301" s="108"/>
      <c r="K301" s="108"/>
      <c r="L301" s="108"/>
      <c r="M301" s="1036"/>
      <c r="N301" s="1"/>
      <c r="O301" s="998"/>
    </row>
    <row r="302" spans="1:15" ht="15" hidden="1" customHeight="1">
      <c r="A302" s="1036"/>
      <c r="B302" s="60"/>
      <c r="C302" s="119"/>
      <c r="D302" s="108"/>
      <c r="E302" s="108"/>
      <c r="F302" s="108"/>
      <c r="G302" s="108"/>
      <c r="H302" s="108"/>
      <c r="I302" s="108"/>
      <c r="J302" s="108"/>
      <c r="K302" s="108"/>
      <c r="L302" s="108"/>
      <c r="M302" s="1036"/>
      <c r="N302" s="1"/>
      <c r="O302" s="998"/>
    </row>
    <row r="303" spans="1:15" ht="39" hidden="1" customHeight="1">
      <c r="A303" s="1067" t="s">
        <v>267</v>
      </c>
      <c r="B303" s="158" t="s">
        <v>61</v>
      </c>
      <c r="C303" s="119" t="s">
        <v>11</v>
      </c>
      <c r="D303" s="108">
        <v>0</v>
      </c>
      <c r="E303" s="108"/>
      <c r="F303" s="108">
        <f t="shared" ref="F303:J303" si="86">(F293+F296+F299)*F304</f>
        <v>0</v>
      </c>
      <c r="G303" s="108">
        <f t="shared" si="86"/>
        <v>0</v>
      </c>
      <c r="H303" s="108"/>
      <c r="I303" s="108"/>
      <c r="J303" s="108">
        <f t="shared" si="86"/>
        <v>0</v>
      </c>
      <c r="K303" s="108"/>
      <c r="L303" s="108"/>
      <c r="M303" s="1036"/>
      <c r="N303" s="1"/>
      <c r="O303" s="998"/>
    </row>
    <row r="304" spans="1:15" ht="15" hidden="1" customHeight="1">
      <c r="A304" s="1777"/>
      <c r="B304" s="1568" t="s">
        <v>376</v>
      </c>
      <c r="C304" s="1555" t="s">
        <v>280</v>
      </c>
      <c r="D304" s="1569"/>
      <c r="E304" s="1569"/>
      <c r="F304" s="1569"/>
      <c r="G304" s="1569"/>
      <c r="H304" s="1569"/>
      <c r="I304" s="1569"/>
      <c r="J304" s="1569"/>
      <c r="K304" s="1569"/>
      <c r="L304" s="1569"/>
      <c r="M304" s="1036"/>
      <c r="N304" s="1"/>
      <c r="O304" s="998"/>
    </row>
    <row r="305" spans="1:17" ht="81.75" customHeight="1">
      <c r="A305" s="383" t="s">
        <v>103</v>
      </c>
      <c r="B305" s="72" t="s">
        <v>1281</v>
      </c>
      <c r="C305" s="99"/>
      <c r="D305" s="426"/>
      <c r="E305" s="426">
        <f>'охрана озер'!B27</f>
        <v>3526.74</v>
      </c>
      <c r="F305" s="426"/>
      <c r="G305" s="426">
        <f>'охрана озер'!C27</f>
        <v>7544.34</v>
      </c>
      <c r="H305" s="426">
        <v>2892.32</v>
      </c>
      <c r="I305" s="426">
        <v>5784.6</v>
      </c>
      <c r="J305" s="426">
        <f>'охрана озер'!D27</f>
        <v>11569.278599999998</v>
      </c>
      <c r="K305" s="426">
        <f>'охрана озер'!E27</f>
        <v>12066.757579799998</v>
      </c>
      <c r="L305" s="426">
        <f>'охрана озер'!F27</f>
        <v>12585.628155731396</v>
      </c>
      <c r="M305" s="426">
        <f>J305</f>
        <v>11569.278599999998</v>
      </c>
      <c r="N305" s="426"/>
      <c r="O305" s="426"/>
    </row>
    <row r="306" spans="1:17" ht="23.25" customHeight="1" thickBot="1">
      <c r="A306" s="1778"/>
      <c r="B306" s="382" t="s">
        <v>157</v>
      </c>
      <c r="C306" s="1779" t="s">
        <v>11</v>
      </c>
      <c r="D306" s="444">
        <f>D286+D287+D291+D305</f>
        <v>5785.4</v>
      </c>
      <c r="E306" s="444">
        <f t="shared" ref="E306:O306" si="87">E286+E287+E291+E305</f>
        <v>6823.8514371840047</v>
      </c>
      <c r="F306" s="444">
        <f t="shared" si="87"/>
        <v>1583.56</v>
      </c>
      <c r="G306" s="444">
        <f>G286+G287+G291+G305</f>
        <v>10349.34</v>
      </c>
      <c r="H306" s="444">
        <f t="shared" si="87"/>
        <v>3943.7945887999999</v>
      </c>
      <c r="I306" s="444">
        <f t="shared" si="87"/>
        <v>7887.5491775999999</v>
      </c>
      <c r="J306" s="444">
        <f t="shared" si="87"/>
        <v>16444.360490591996</v>
      </c>
      <c r="K306" s="444">
        <f t="shared" si="87"/>
        <v>17060.065491687456</v>
      </c>
      <c r="L306" s="444">
        <f t="shared" si="87"/>
        <v>17961.625417830011</v>
      </c>
      <c r="M306" s="444">
        <f t="shared" si="87"/>
        <v>16349.728599999999</v>
      </c>
      <c r="N306" s="444">
        <f t="shared" si="87"/>
        <v>0</v>
      </c>
      <c r="O306" s="444">
        <f t="shared" si="87"/>
        <v>0</v>
      </c>
    </row>
    <row r="307" spans="1:17">
      <c r="A307" s="116"/>
      <c r="B307" s="117"/>
      <c r="C307" s="118"/>
      <c r="D307" s="117"/>
      <c r="E307" s="117"/>
      <c r="F307" s="117"/>
      <c r="G307" s="117"/>
      <c r="H307" s="117"/>
      <c r="I307" s="117"/>
      <c r="J307" s="117"/>
    </row>
    <row r="308" spans="1:17" ht="19.5" thickBot="1">
      <c r="A308" s="367" t="s">
        <v>497</v>
      </c>
      <c r="B308" s="117"/>
      <c r="C308" s="118"/>
      <c r="D308" s="117"/>
      <c r="E308" s="2422">
        <f>D313-E313</f>
        <v>4289.1999999999989</v>
      </c>
      <c r="F308" s="117"/>
      <c r="G308" s="117"/>
      <c r="H308" s="117"/>
      <c r="I308" s="117"/>
      <c r="J308" s="117"/>
    </row>
    <row r="309" spans="1:17" ht="15.75" thickBot="1">
      <c r="A309" s="3389" t="s">
        <v>0</v>
      </c>
      <c r="B309" s="3389" t="s">
        <v>1</v>
      </c>
      <c r="C309" s="3389" t="s">
        <v>2</v>
      </c>
      <c r="D309" s="3432" t="s">
        <v>165</v>
      </c>
      <c r="E309" s="3433"/>
      <c r="F309" s="3433"/>
      <c r="G309" s="3433"/>
      <c r="H309" s="3433"/>
      <c r="I309" s="3433"/>
      <c r="J309" s="3433"/>
      <c r="K309" s="1553"/>
      <c r="L309" s="1553"/>
      <c r="M309" s="3439" t="s">
        <v>1460</v>
      </c>
      <c r="N309" s="3440"/>
      <c r="O309" s="3440"/>
      <c r="P309" s="3450" t="s">
        <v>1670</v>
      </c>
      <c r="Q309" s="3451"/>
    </row>
    <row r="310" spans="1:17" ht="15.75" customHeight="1" thickBot="1">
      <c r="A310" s="3401"/>
      <c r="B310" s="3401"/>
      <c r="C310" s="3401"/>
      <c r="D310" s="3455" t="s">
        <v>1103</v>
      </c>
      <c r="E310" s="3456"/>
      <c r="F310" s="3416">
        <v>2015</v>
      </c>
      <c r="G310" s="3417"/>
      <c r="H310" s="3389" t="s">
        <v>1375</v>
      </c>
      <c r="I310" s="3389" t="s">
        <v>1376</v>
      </c>
      <c r="J310" s="3436" t="s">
        <v>1208</v>
      </c>
      <c r="K310" s="3436" t="s">
        <v>1154</v>
      </c>
      <c r="L310" s="3436" t="s">
        <v>1209</v>
      </c>
      <c r="M310" s="3442"/>
      <c r="N310" s="3443"/>
      <c r="O310" s="3443"/>
      <c r="P310" s="3452"/>
      <c r="Q310" s="3453"/>
    </row>
    <row r="311" spans="1:17" ht="32.25" customHeight="1" thickBot="1">
      <c r="A311" s="3390"/>
      <c r="B311" s="3390"/>
      <c r="C311" s="3390"/>
      <c r="D311" s="1554" t="s">
        <v>5</v>
      </c>
      <c r="E311" s="476" t="s">
        <v>6</v>
      </c>
      <c r="F311" s="476" t="s">
        <v>7</v>
      </c>
      <c r="G311" s="476" t="s">
        <v>8</v>
      </c>
      <c r="H311" s="3390"/>
      <c r="I311" s="3390"/>
      <c r="J311" s="3437"/>
      <c r="K311" s="3437"/>
      <c r="L311" s="3437"/>
      <c r="M311" s="2620">
        <v>2016</v>
      </c>
      <c r="N311" s="2620">
        <v>2017</v>
      </c>
      <c r="O311" s="2659">
        <v>2018</v>
      </c>
      <c r="P311" s="2660">
        <v>2012</v>
      </c>
      <c r="Q311" s="2661">
        <v>2013</v>
      </c>
    </row>
    <row r="312" spans="1:17" ht="15.75" thickBot="1">
      <c r="A312" s="1582">
        <v>1</v>
      </c>
      <c r="B312" s="5">
        <v>2</v>
      </c>
      <c r="C312" s="5">
        <v>3</v>
      </c>
      <c r="D312" s="5">
        <v>4</v>
      </c>
      <c r="E312" s="5">
        <v>5</v>
      </c>
      <c r="F312" s="5">
        <v>6</v>
      </c>
      <c r="G312" s="5">
        <v>7</v>
      </c>
      <c r="H312" s="5"/>
      <c r="I312" s="5"/>
      <c r="J312" s="5">
        <v>8</v>
      </c>
      <c r="K312" s="1234">
        <v>9</v>
      </c>
      <c r="L312" s="2761">
        <v>10</v>
      </c>
      <c r="M312" s="2766">
        <v>11</v>
      </c>
      <c r="N312" s="2767">
        <v>12</v>
      </c>
      <c r="O312" s="2768">
        <v>13</v>
      </c>
      <c r="P312" s="2546"/>
      <c r="Q312" s="2548"/>
    </row>
    <row r="313" spans="1:17" ht="66.75" customHeight="1">
      <c r="A313" s="1586">
        <v>1</v>
      </c>
      <c r="B313" s="125" t="s">
        <v>293</v>
      </c>
      <c r="C313" s="356" t="s">
        <v>11</v>
      </c>
      <c r="D313" s="1587">
        <v>13627.8</v>
      </c>
      <c r="E313" s="1587">
        <f>9338.6</f>
        <v>9338.6</v>
      </c>
      <c r="F313" s="1587">
        <f>SUM(F314:F316)</f>
        <v>16415.400000000001</v>
      </c>
      <c r="G313" s="1587">
        <f>F313</f>
        <v>16415.400000000001</v>
      </c>
      <c r="H313" s="1587">
        <f>'затраты на ремонт  _6 мес.2015'!B20</f>
        <v>3832.0311359999992</v>
      </c>
      <c r="I313" s="1587">
        <v>16415.400000000001</v>
      </c>
      <c r="J313" s="1587">
        <v>18246.560000000001</v>
      </c>
      <c r="K313" s="1587">
        <v>19031.16</v>
      </c>
      <c r="L313" s="1587">
        <v>19836.68</v>
      </c>
      <c r="M313" s="1587">
        <f>(P313+Q313+E313)/3*1.026</f>
        <v>6932.6614800000007</v>
      </c>
      <c r="N313" s="25"/>
      <c r="O313" s="2765"/>
      <c r="P313" s="2660">
        <v>5022</v>
      </c>
      <c r="Q313" s="2661">
        <v>5910.34</v>
      </c>
    </row>
    <row r="314" spans="1:17">
      <c r="A314" s="521" t="s">
        <v>10</v>
      </c>
      <c r="B314" s="61" t="s">
        <v>617</v>
      </c>
      <c r="C314" s="2" t="s">
        <v>11</v>
      </c>
      <c r="D314" s="447">
        <v>4956.6000000000004</v>
      </c>
      <c r="E314" s="447"/>
      <c r="F314" s="447">
        <v>6060.6</v>
      </c>
      <c r="G314" s="447"/>
      <c r="H314" s="447"/>
      <c r="I314" s="447"/>
      <c r="J314" s="447"/>
      <c r="K314" s="439"/>
      <c r="L314" s="439"/>
      <c r="M314" s="1036"/>
      <c r="N314" s="1"/>
      <c r="O314" s="50"/>
      <c r="P314" s="2546"/>
      <c r="Q314" s="2548"/>
    </row>
    <row r="315" spans="1:17">
      <c r="A315" s="521" t="s">
        <v>18</v>
      </c>
      <c r="B315" s="61" t="s">
        <v>618</v>
      </c>
      <c r="C315" s="2" t="s">
        <v>11</v>
      </c>
      <c r="D315" s="447">
        <v>865.2</v>
      </c>
      <c r="E315" s="447"/>
      <c r="F315" s="447">
        <v>1508.6</v>
      </c>
      <c r="G315" s="447"/>
      <c r="H315" s="447"/>
      <c r="I315" s="447"/>
      <c r="J315" s="447"/>
      <c r="K315" s="439"/>
      <c r="L315" s="439"/>
      <c r="M315" s="1036"/>
      <c r="N315" s="1"/>
      <c r="O315" s="50"/>
      <c r="P315" s="2546"/>
      <c r="Q315" s="2548"/>
    </row>
    <row r="316" spans="1:17">
      <c r="A316" s="521" t="s">
        <v>30</v>
      </c>
      <c r="B316" s="61" t="s">
        <v>619</v>
      </c>
      <c r="C316" s="2" t="s">
        <v>11</v>
      </c>
      <c r="D316" s="447">
        <v>7806.04</v>
      </c>
      <c r="E316" s="447"/>
      <c r="F316" s="447">
        <v>8846.2000000000007</v>
      </c>
      <c r="G316" s="447"/>
      <c r="H316" s="447"/>
      <c r="I316" s="447"/>
      <c r="J316" s="447"/>
      <c r="K316" s="439"/>
      <c r="L316" s="439"/>
      <c r="M316" s="1036"/>
      <c r="N316" s="1"/>
      <c r="O316" s="50"/>
      <c r="P316" s="2546"/>
      <c r="Q316" s="2548"/>
    </row>
    <row r="317" spans="1:17" ht="15.75" hidden="1" thickBot="1">
      <c r="A317" s="521" t="s">
        <v>255</v>
      </c>
      <c r="B317" s="61"/>
      <c r="C317" s="2" t="s">
        <v>11</v>
      </c>
      <c r="D317" s="447"/>
      <c r="E317" s="447"/>
      <c r="F317" s="447">
        <f>SUM(F312:F313)</f>
        <v>16421.400000000001</v>
      </c>
      <c r="G317" s="447">
        <f>SUM(G312:G313)</f>
        <v>16422.400000000001</v>
      </c>
      <c r="H317" s="447"/>
      <c r="I317" s="447"/>
      <c r="J317" s="447"/>
      <c r="K317" s="439"/>
      <c r="L317" s="439"/>
      <c r="M317" s="1036"/>
      <c r="N317" s="1"/>
      <c r="O317" s="50"/>
      <c r="P317" s="2546"/>
      <c r="Q317" s="2548"/>
    </row>
    <row r="318" spans="1:17" ht="15.75" hidden="1" thickBot="1">
      <c r="A318" s="521" t="s">
        <v>40</v>
      </c>
      <c r="B318" s="61"/>
      <c r="C318" s="2" t="s">
        <v>11</v>
      </c>
      <c r="D318" s="447"/>
      <c r="E318" s="447"/>
      <c r="F318" s="447"/>
      <c r="G318" s="447"/>
      <c r="H318" s="447"/>
      <c r="I318" s="447"/>
      <c r="J318" s="447"/>
      <c r="K318" s="439"/>
      <c r="L318" s="439"/>
      <c r="M318" s="1036"/>
      <c r="N318" s="1"/>
      <c r="O318" s="50"/>
      <c r="P318" s="2546"/>
      <c r="Q318" s="2548"/>
    </row>
    <row r="319" spans="1:17" ht="15.75" hidden="1" thickBot="1">
      <c r="A319" s="521" t="s">
        <v>41</v>
      </c>
      <c r="B319" s="61"/>
      <c r="C319" s="2" t="s">
        <v>11</v>
      </c>
      <c r="D319" s="447"/>
      <c r="E319" s="447"/>
      <c r="F319" s="447"/>
      <c r="G319" s="447"/>
      <c r="H319" s="447"/>
      <c r="I319" s="447"/>
      <c r="J319" s="447"/>
      <c r="K319" s="439"/>
      <c r="L319" s="439"/>
      <c r="M319" s="1036"/>
      <c r="N319" s="1"/>
      <c r="O319" s="50"/>
      <c r="P319" s="2546"/>
      <c r="Q319" s="2548"/>
    </row>
    <row r="320" spans="1:17" ht="15.75" hidden="1" thickBot="1">
      <c r="A320" s="521" t="s">
        <v>42</v>
      </c>
      <c r="B320" s="61"/>
      <c r="C320" s="2" t="s">
        <v>11</v>
      </c>
      <c r="D320" s="447"/>
      <c r="E320" s="447"/>
      <c r="F320" s="447"/>
      <c r="G320" s="447"/>
      <c r="H320" s="447"/>
      <c r="I320" s="447"/>
      <c r="J320" s="447"/>
      <c r="K320" s="439"/>
      <c r="L320" s="439"/>
      <c r="M320" s="1036"/>
      <c r="N320" s="1"/>
      <c r="O320" s="50"/>
      <c r="P320" s="2546"/>
      <c r="Q320" s="2548"/>
    </row>
    <row r="321" spans="1:17" ht="54.75" customHeight="1">
      <c r="A321" s="536" t="s">
        <v>50</v>
      </c>
      <c r="B321" s="126" t="s">
        <v>1308</v>
      </c>
      <c r="C321" s="85" t="s">
        <v>11</v>
      </c>
      <c r="D321" s="449">
        <v>80028.299999999988</v>
      </c>
      <c r="E321" s="449">
        <f>47637.82-10104.1*0.72</f>
        <v>40362.868000000002</v>
      </c>
      <c r="F321" s="449">
        <v>28063.864419999998</v>
      </c>
      <c r="G321" s="449">
        <v>33794.18</v>
      </c>
      <c r="H321" s="449">
        <f>'затраты на ремонт  _6 мес.2015'!B10</f>
        <v>15733.232639999998</v>
      </c>
      <c r="I321" s="449">
        <v>33794.18</v>
      </c>
      <c r="J321" s="449">
        <v>80027.679000000004</v>
      </c>
      <c r="K321" s="449">
        <v>79409.237999999998</v>
      </c>
      <c r="L321" s="449">
        <v>64812.381999999998</v>
      </c>
      <c r="M321" s="449">
        <f>J321-(M395-28110.762)-11800-2293.06</f>
        <v>44664.073515000011</v>
      </c>
      <c r="N321" s="416"/>
      <c r="O321" s="50"/>
      <c r="P321" s="2660">
        <v>26684.1</v>
      </c>
      <c r="Q321" s="2661">
        <v>35039.85</v>
      </c>
    </row>
    <row r="322" spans="1:17">
      <c r="A322" s="1076" t="s">
        <v>52</v>
      </c>
      <c r="B322" s="61" t="s">
        <v>617</v>
      </c>
      <c r="C322" s="450" t="s">
        <v>11</v>
      </c>
      <c r="D322" s="451">
        <v>61430.1</v>
      </c>
      <c r="E322" s="451"/>
      <c r="F322" s="451">
        <v>14739.497600000001</v>
      </c>
      <c r="G322" s="451"/>
      <c r="H322" s="451"/>
      <c r="I322" s="451"/>
      <c r="J322" s="451"/>
      <c r="K322" s="452"/>
      <c r="L322" s="452"/>
      <c r="M322" s="1036"/>
      <c r="N322" s="1"/>
      <c r="O322" s="50"/>
      <c r="P322" s="2546"/>
      <c r="Q322" s="2548"/>
    </row>
    <row r="323" spans="1:17">
      <c r="A323" s="1076" t="s">
        <v>54</v>
      </c>
      <c r="B323" s="61" t="s">
        <v>618</v>
      </c>
      <c r="C323" s="450" t="s">
        <v>11</v>
      </c>
      <c r="D323" s="451">
        <v>3549.2</v>
      </c>
      <c r="E323" s="451"/>
      <c r="F323" s="451">
        <v>3165.2979599999999</v>
      </c>
      <c r="G323" s="451"/>
      <c r="H323" s="451"/>
      <c r="I323" s="451"/>
      <c r="J323" s="451"/>
      <c r="K323" s="451"/>
      <c r="L323" s="451"/>
      <c r="M323" s="1604"/>
      <c r="N323" s="1"/>
      <c r="O323" s="50"/>
      <c r="P323" s="2546"/>
      <c r="Q323" s="2548"/>
    </row>
    <row r="324" spans="1:17">
      <c r="A324" s="1076" t="s">
        <v>56</v>
      </c>
      <c r="B324" s="61" t="s">
        <v>619</v>
      </c>
      <c r="C324" s="450" t="s">
        <v>11</v>
      </c>
      <c r="D324" s="451">
        <v>15049</v>
      </c>
      <c r="E324" s="451"/>
      <c r="F324" s="451">
        <v>10159.068859999999</v>
      </c>
      <c r="G324" s="451"/>
      <c r="H324" s="451"/>
      <c r="I324" s="451"/>
      <c r="J324" s="451"/>
      <c r="K324" s="451"/>
      <c r="L324" s="451"/>
      <c r="M324" s="1036"/>
      <c r="N324" s="1"/>
      <c r="O324" s="50"/>
      <c r="P324" s="2546"/>
      <c r="Q324" s="2548"/>
    </row>
    <row r="325" spans="1:17">
      <c r="A325" s="1076" t="s">
        <v>261</v>
      </c>
      <c r="B325" s="450"/>
      <c r="C325" s="450" t="s">
        <v>11</v>
      </c>
      <c r="D325" s="451"/>
      <c r="E325" s="451"/>
      <c r="F325" s="451"/>
      <c r="G325" s="451"/>
      <c r="H325" s="451"/>
      <c r="I325" s="451"/>
      <c r="J325" s="451"/>
      <c r="K325" s="451"/>
      <c r="L325" s="451"/>
      <c r="M325" s="1036"/>
      <c r="N325" s="1"/>
      <c r="O325" s="50"/>
      <c r="P325" s="2546"/>
      <c r="Q325" s="2548"/>
    </row>
    <row r="326" spans="1:17">
      <c r="A326" s="1076" t="s">
        <v>262</v>
      </c>
      <c r="B326" s="450" t="s">
        <v>1054</v>
      </c>
      <c r="C326" s="450" t="s">
        <v>11</v>
      </c>
      <c r="D326" s="451"/>
      <c r="E326" s="451"/>
      <c r="F326" s="451"/>
      <c r="G326" s="451"/>
      <c r="H326" s="451"/>
      <c r="I326" s="451"/>
      <c r="J326" s="451"/>
      <c r="K326" s="451"/>
      <c r="L326" s="451"/>
      <c r="M326" s="1036"/>
      <c r="N326" s="1"/>
      <c r="O326" s="50"/>
      <c r="P326" s="2546"/>
      <c r="Q326" s="2548"/>
    </row>
    <row r="327" spans="1:17" ht="30">
      <c r="A327" s="1076" t="s">
        <v>292</v>
      </c>
      <c r="B327" s="450"/>
      <c r="C327" s="450" t="s">
        <v>11</v>
      </c>
      <c r="D327" s="1775" t="s">
        <v>1210</v>
      </c>
      <c r="E327" s="1775"/>
      <c r="F327" s="1775"/>
      <c r="G327" s="1775"/>
      <c r="H327" s="1775"/>
      <c r="I327" s="1775"/>
      <c r="J327" s="1775"/>
      <c r="K327" s="1775"/>
      <c r="L327" s="451"/>
      <c r="M327" s="1036"/>
      <c r="N327" s="1"/>
      <c r="O327" s="50"/>
      <c r="P327" s="2546"/>
      <c r="Q327" s="2548"/>
    </row>
    <row r="328" spans="1:17" ht="38.25">
      <c r="A328" s="536" t="s">
        <v>62</v>
      </c>
      <c r="B328" s="126" t="s">
        <v>57</v>
      </c>
      <c r="C328" s="85" t="s">
        <v>11</v>
      </c>
      <c r="D328" s="449">
        <v>4448.29</v>
      </c>
      <c r="E328" s="449">
        <f>'Зар.плата осн.персонала'!E221</f>
        <v>5264.6983200000004</v>
      </c>
      <c r="F328" s="449">
        <v>7267.3733999999995</v>
      </c>
      <c r="G328" s="449">
        <f t="shared" ref="G328:O328" si="88">G329+G330</f>
        <v>7411.8693600000006</v>
      </c>
      <c r="H328" s="449">
        <f t="shared" si="88"/>
        <v>3768.5041128000007</v>
      </c>
      <c r="I328" s="449">
        <f t="shared" si="88"/>
        <v>7454.0799396000011</v>
      </c>
      <c r="J328" s="449">
        <f t="shared" si="88"/>
        <v>7751.9491559999997</v>
      </c>
      <c r="K328" s="449">
        <f t="shared" si="88"/>
        <v>8085.2829697079997</v>
      </c>
      <c r="L328" s="449">
        <f t="shared" si="88"/>
        <v>8432.9501374054416</v>
      </c>
      <c r="M328" s="449">
        <f t="shared" si="88"/>
        <v>7751.9491559999997</v>
      </c>
      <c r="N328" s="449">
        <f t="shared" si="88"/>
        <v>0</v>
      </c>
      <c r="O328" s="449">
        <f t="shared" si="88"/>
        <v>0</v>
      </c>
      <c r="P328" s="2546"/>
      <c r="Q328" s="2548"/>
    </row>
    <row r="329" spans="1:17" ht="25.5">
      <c r="A329" s="1078" t="s">
        <v>64</v>
      </c>
      <c r="B329" s="10" t="s">
        <v>59</v>
      </c>
      <c r="C329" s="11" t="s">
        <v>11</v>
      </c>
      <c r="D329" s="418">
        <f>'Зар.плата осн.персонала'!D221</f>
        <v>4817.4865199999995</v>
      </c>
      <c r="E329" s="418">
        <f>'Зар.плата осн.персонала'!E221</f>
        <v>5264.6983200000004</v>
      </c>
      <c r="F329" s="418">
        <f>'Зар.плата осн.персонала'!F221</f>
        <v>5581.6991999999991</v>
      </c>
      <c r="G329" s="418">
        <f>'Зар.плата осн.персонала'!G221</f>
        <v>5692.68</v>
      </c>
      <c r="H329" s="418">
        <f>'Зар.плата осн.персонала'!H221</f>
        <v>2894.3964000000005</v>
      </c>
      <c r="I329" s="418">
        <f>'Зар.плата осн.персонала'!I221</f>
        <v>5725.0998000000009</v>
      </c>
      <c r="J329" s="418">
        <f>'Зар.плата осн.персонала'!J221</f>
        <v>5953.8779999999997</v>
      </c>
      <c r="K329" s="418">
        <f>'Зар.плата осн.персонала'!K221</f>
        <v>6209.8947539999999</v>
      </c>
      <c r="L329" s="418">
        <f>'Зар.плата осн.персонала'!L221</f>
        <v>6476.9202284219982</v>
      </c>
      <c r="M329" s="1604">
        <f>'Зар.плата осн.персонала'!M221</f>
        <v>5953.8779999999997</v>
      </c>
      <c r="N329" s="1"/>
      <c r="O329" s="50"/>
      <c r="P329" s="2546"/>
      <c r="Q329" s="2548"/>
    </row>
    <row r="330" spans="1:17" ht="38.25">
      <c r="A330" s="1078" t="s">
        <v>80</v>
      </c>
      <c r="B330" s="16" t="s">
        <v>61</v>
      </c>
      <c r="C330" s="17" t="s">
        <v>11</v>
      </c>
      <c r="D330" s="418">
        <f>D329*D331</f>
        <v>1454.8809290399997</v>
      </c>
      <c r="E330" s="418">
        <f t="shared" ref="E330:G330" si="89">E329*E331</f>
        <v>1589.9388926400002</v>
      </c>
      <c r="F330" s="418">
        <f t="shared" si="89"/>
        <v>1685.6731583999997</v>
      </c>
      <c r="G330" s="418">
        <f t="shared" si="89"/>
        <v>1719.1893600000001</v>
      </c>
      <c r="H330" s="418">
        <f>'Зар.плата осн.персонала'!H223</f>
        <v>874.10771280000017</v>
      </c>
      <c r="I330" s="418">
        <f>'Зар.плата осн.персонала'!I223</f>
        <v>1728.9801396</v>
      </c>
      <c r="J330" s="418">
        <f>'Зар.плата осн.персонала'!J223</f>
        <v>1798.071156</v>
      </c>
      <c r="K330" s="418">
        <f>'Зар.плата осн.персонала'!K223</f>
        <v>1875.388215708</v>
      </c>
      <c r="L330" s="418">
        <f>'Зар.плата осн.персонала'!L223</f>
        <v>1956.0299089834434</v>
      </c>
      <c r="M330" s="1604">
        <f>'Зар.плата осн.персонала'!M223</f>
        <v>1798.071156</v>
      </c>
      <c r="N330" s="1"/>
      <c r="O330" s="50"/>
      <c r="P330" s="2546"/>
      <c r="Q330" s="2548"/>
    </row>
    <row r="331" spans="1:17">
      <c r="A331" s="999"/>
      <c r="B331" s="166" t="s">
        <v>376</v>
      </c>
      <c r="C331" s="119" t="s">
        <v>280</v>
      </c>
      <c r="D331" s="169">
        <v>0.30199999999999999</v>
      </c>
      <c r="E331" s="169">
        <v>0.30199999999999999</v>
      </c>
      <c r="F331" s="169">
        <v>0.30199999999999999</v>
      </c>
      <c r="G331" s="169">
        <v>0.30199999999999999</v>
      </c>
      <c r="H331" s="169">
        <v>0.30199999999999999</v>
      </c>
      <c r="I331" s="169">
        <v>0.30199999999999999</v>
      </c>
      <c r="J331" s="169">
        <v>0.30199999999999999</v>
      </c>
      <c r="K331" s="169">
        <v>0.30199999999999999</v>
      </c>
      <c r="L331" s="169">
        <v>0.30199999999999999</v>
      </c>
      <c r="M331" s="169">
        <v>0.30199999999999999</v>
      </c>
      <c r="N331" s="1"/>
      <c r="O331" s="50"/>
      <c r="P331" s="2546"/>
      <c r="Q331" s="2548"/>
    </row>
    <row r="332" spans="1:17" ht="15.75" thickBot="1">
      <c r="A332" s="1080"/>
      <c r="B332" s="164"/>
      <c r="C332" s="989"/>
      <c r="D332" s="165"/>
      <c r="E332" s="165"/>
      <c r="F332" s="165"/>
      <c r="G332" s="165"/>
      <c r="H332" s="165"/>
      <c r="I332" s="165"/>
      <c r="J332" s="165"/>
      <c r="K332" s="108"/>
      <c r="L332" s="108"/>
      <c r="M332" s="1036"/>
      <c r="N332" s="1"/>
      <c r="O332" s="50"/>
      <c r="P332" s="2546"/>
      <c r="Q332" s="2548"/>
    </row>
    <row r="333" spans="1:17" ht="15.75" thickBot="1">
      <c r="A333" s="76"/>
      <c r="B333" s="453" t="s">
        <v>157</v>
      </c>
      <c r="C333" s="454" t="s">
        <v>383</v>
      </c>
      <c r="D333" s="430">
        <f t="shared" ref="D333:O333" si="90">D313+D321+D328</f>
        <v>98104.389999999985</v>
      </c>
      <c r="E333" s="430">
        <f t="shared" si="90"/>
        <v>54966.166320000004</v>
      </c>
      <c r="F333" s="430">
        <v>7267.3733999999968</v>
      </c>
      <c r="G333" s="430">
        <f t="shared" si="90"/>
        <v>57621.449359999999</v>
      </c>
      <c r="H333" s="430">
        <f t="shared" si="90"/>
        <v>23333.767888799997</v>
      </c>
      <c r="I333" s="430">
        <f t="shared" si="90"/>
        <v>57663.659939600002</v>
      </c>
      <c r="J333" s="430">
        <f t="shared" si="90"/>
        <v>106026.188156</v>
      </c>
      <c r="K333" s="430">
        <f t="shared" si="90"/>
        <v>106525.680969708</v>
      </c>
      <c r="L333" s="430">
        <f t="shared" si="90"/>
        <v>93082.012137405443</v>
      </c>
      <c r="M333" s="430">
        <f t="shared" si="90"/>
        <v>59348.684151000016</v>
      </c>
      <c r="N333" s="430">
        <f t="shared" si="90"/>
        <v>0</v>
      </c>
      <c r="O333" s="430">
        <f t="shared" si="90"/>
        <v>0</v>
      </c>
      <c r="P333" s="2662"/>
      <c r="Q333" s="2663"/>
    </row>
    <row r="334" spans="1:17">
      <c r="A334" s="59"/>
      <c r="B334" s="123"/>
      <c r="C334" s="124"/>
      <c r="D334" s="117"/>
      <c r="E334" s="117"/>
      <c r="F334" s="117"/>
      <c r="G334" s="117"/>
      <c r="H334" s="117"/>
      <c r="I334" s="117"/>
      <c r="J334" s="117"/>
    </row>
    <row r="335" spans="1:17">
      <c r="A335" s="368" t="s">
        <v>533</v>
      </c>
      <c r="B335" s="123"/>
      <c r="C335" s="124"/>
      <c r="D335" s="117"/>
      <c r="E335" s="117"/>
      <c r="F335" s="117"/>
      <c r="G335" s="117"/>
      <c r="H335" s="117"/>
      <c r="I335" s="117"/>
      <c r="J335" s="117"/>
    </row>
    <row r="336" spans="1:17">
      <c r="A336" s="59"/>
      <c r="B336" s="123"/>
      <c r="C336" s="124"/>
      <c r="D336" s="117"/>
      <c r="E336" s="117"/>
      <c r="F336" s="117"/>
      <c r="G336" s="117"/>
      <c r="H336" s="117"/>
      <c r="I336" s="117"/>
      <c r="J336" s="117"/>
    </row>
    <row r="337" spans="1:15">
      <c r="A337" s="59"/>
      <c r="B337" s="123"/>
      <c r="C337" s="124"/>
      <c r="D337" s="117"/>
      <c r="E337" s="117"/>
      <c r="F337" s="3457" t="s">
        <v>295</v>
      </c>
      <c r="G337" s="3457"/>
      <c r="H337" s="3457"/>
      <c r="I337" s="3457"/>
      <c r="J337" s="3457"/>
    </row>
    <row r="338" spans="1:15">
      <c r="F338" s="3457" t="s">
        <v>169</v>
      </c>
      <c r="G338" s="3457"/>
      <c r="H338" s="3457"/>
      <c r="I338" s="3457"/>
      <c r="J338" s="3457"/>
    </row>
    <row r="339" spans="1:15">
      <c r="F339" s="58" t="s">
        <v>294</v>
      </c>
      <c r="G339" s="106"/>
      <c r="H339" s="1960"/>
      <c r="I339" s="1960"/>
      <c r="J339" s="106"/>
    </row>
    <row r="340" spans="1:15">
      <c r="F340" s="3457" t="s">
        <v>170</v>
      </c>
      <c r="G340" s="3457"/>
      <c r="H340" s="3457"/>
      <c r="I340" s="3457"/>
      <c r="J340" s="3457"/>
    </row>
    <row r="342" spans="1:15" ht="19.5" thickBot="1">
      <c r="A342" s="360" t="s">
        <v>1800</v>
      </c>
    </row>
    <row r="343" spans="1:15" ht="15.75" thickBot="1">
      <c r="A343" s="3389" t="s">
        <v>0</v>
      </c>
      <c r="B343" s="3389" t="s">
        <v>1</v>
      </c>
      <c r="C343" s="3389" t="s">
        <v>2</v>
      </c>
      <c r="D343" s="3432" t="s">
        <v>165</v>
      </c>
      <c r="E343" s="3433"/>
      <c r="F343" s="3433"/>
      <c r="G343" s="3433"/>
      <c r="H343" s="3433"/>
      <c r="I343" s="3433"/>
      <c r="J343" s="3433"/>
      <c r="K343" s="1448"/>
      <c r="L343" s="1448"/>
      <c r="M343" s="3439" t="s">
        <v>1460</v>
      </c>
      <c r="N343" s="3440"/>
      <c r="O343" s="3441"/>
    </row>
    <row r="344" spans="1:15" ht="15.75" customHeight="1" thickBot="1">
      <c r="A344" s="3401"/>
      <c r="B344" s="3401"/>
      <c r="C344" s="3401"/>
      <c r="D344" s="3455" t="s">
        <v>1103</v>
      </c>
      <c r="E344" s="3456"/>
      <c r="F344" s="3416">
        <v>2015</v>
      </c>
      <c r="G344" s="3417"/>
      <c r="H344" s="3389" t="s">
        <v>1375</v>
      </c>
      <c r="I344" s="3389" t="s">
        <v>1376</v>
      </c>
      <c r="J344" s="3436" t="s">
        <v>394</v>
      </c>
      <c r="K344" s="3436" t="s">
        <v>1154</v>
      </c>
      <c r="L344" s="3436" t="s">
        <v>1155</v>
      </c>
      <c r="M344" s="3442"/>
      <c r="N344" s="3443"/>
      <c r="O344" s="3444"/>
    </row>
    <row r="345" spans="1:15" ht="27.75" customHeight="1" thickBot="1">
      <c r="A345" s="3390"/>
      <c r="B345" s="3390"/>
      <c r="C345" s="3390"/>
      <c r="D345" s="1449" t="s">
        <v>5</v>
      </c>
      <c r="E345" s="476" t="s">
        <v>6</v>
      </c>
      <c r="F345" s="476" t="s">
        <v>7</v>
      </c>
      <c r="G345" s="476" t="s">
        <v>8</v>
      </c>
      <c r="H345" s="3390"/>
      <c r="I345" s="3390"/>
      <c r="J345" s="3437"/>
      <c r="K345" s="3437"/>
      <c r="L345" s="3437"/>
      <c r="M345" s="2620">
        <v>2016</v>
      </c>
      <c r="N345" s="2620">
        <v>2017</v>
      </c>
      <c r="O345" s="2620">
        <v>2018</v>
      </c>
    </row>
    <row r="346" spans="1:15" ht="15.75" thickBot="1">
      <c r="A346" s="1582">
        <v>1</v>
      </c>
      <c r="B346" s="5">
        <v>2</v>
      </c>
      <c r="C346" s="5">
        <v>3</v>
      </c>
      <c r="D346" s="5">
        <v>4</v>
      </c>
      <c r="E346" s="5">
        <v>5</v>
      </c>
      <c r="F346" s="5">
        <v>6</v>
      </c>
      <c r="G346" s="5">
        <v>7</v>
      </c>
      <c r="H346" s="5"/>
      <c r="I346" s="5"/>
      <c r="J346" s="5">
        <v>8</v>
      </c>
      <c r="K346" s="1234">
        <v>9</v>
      </c>
      <c r="L346" s="1234">
        <v>10</v>
      </c>
      <c r="M346" s="2647">
        <v>11</v>
      </c>
      <c r="N346" s="2648">
        <v>12</v>
      </c>
      <c r="O346" s="2648">
        <v>13</v>
      </c>
    </row>
    <row r="347" spans="1:15" ht="30">
      <c r="A347" s="1584">
        <v>1</v>
      </c>
      <c r="B347" s="45" t="s">
        <v>253</v>
      </c>
      <c r="C347" s="45"/>
      <c r="D347" s="1316">
        <f t="shared" ref="D347:O347" si="91">SUM(D348:D352)</f>
        <v>1001474</v>
      </c>
      <c r="E347" s="1316">
        <f>SUM(E348:E352)</f>
        <v>1045025.87</v>
      </c>
      <c r="F347" s="1316">
        <f t="shared" si="91"/>
        <v>247474.40999999997</v>
      </c>
      <c r="G347" s="1316">
        <f t="shared" si="91"/>
        <v>1065072.1329999999</v>
      </c>
      <c r="H347" s="1316">
        <f t="shared" si="91"/>
        <v>1065072.27</v>
      </c>
      <c r="I347" s="1316">
        <f t="shared" si="91"/>
        <v>1065072.27</v>
      </c>
      <c r="J347" s="1316">
        <f t="shared" si="91"/>
        <v>2795961.3789000004</v>
      </c>
      <c r="K347" s="1316">
        <f t="shared" si="91"/>
        <v>2870315.1672000005</v>
      </c>
      <c r="L347" s="1316">
        <f t="shared" si="91"/>
        <v>4220722.3478000006</v>
      </c>
      <c r="M347" s="459">
        <f t="shared" si="91"/>
        <v>0</v>
      </c>
      <c r="N347" s="459">
        <f t="shared" si="91"/>
        <v>0</v>
      </c>
      <c r="O347" s="459">
        <f t="shared" si="91"/>
        <v>0</v>
      </c>
    </row>
    <row r="348" spans="1:15">
      <c r="A348" s="1045" t="s">
        <v>10</v>
      </c>
      <c r="B348" s="1" t="s">
        <v>254</v>
      </c>
      <c r="C348" s="92" t="s">
        <v>11</v>
      </c>
      <c r="D348" s="416">
        <v>899973</v>
      </c>
      <c r="E348" s="416">
        <v>132781.79999999999</v>
      </c>
      <c r="F348" s="416">
        <v>145973.41</v>
      </c>
      <c r="G348" s="416">
        <v>139845.4</v>
      </c>
      <c r="H348" s="416">
        <v>139845</v>
      </c>
      <c r="I348" s="416">
        <v>139845</v>
      </c>
      <c r="J348" s="416">
        <f>I366</f>
        <v>233957.19839999999</v>
      </c>
      <c r="K348" s="416">
        <f>J366</f>
        <v>233551.2077</v>
      </c>
      <c r="L348" s="416">
        <f>K366</f>
        <v>233141.16090000002</v>
      </c>
      <c r="M348" s="1"/>
      <c r="N348" s="1"/>
      <c r="O348" s="1"/>
    </row>
    <row r="349" spans="1:15" ht="30">
      <c r="A349" s="521" t="s">
        <v>18</v>
      </c>
      <c r="B349" s="60" t="s">
        <v>256</v>
      </c>
      <c r="C349" s="2" t="s">
        <v>11</v>
      </c>
      <c r="D349" s="416"/>
      <c r="E349" s="416">
        <v>807570.5</v>
      </c>
      <c r="F349" s="416"/>
      <c r="G349" s="416">
        <v>817331.09</v>
      </c>
      <c r="H349" s="416">
        <v>817331.09</v>
      </c>
      <c r="I349" s="416">
        <v>817331.09</v>
      </c>
      <c r="J349" s="416">
        <f t="shared" ref="J349:J352" si="92">I367</f>
        <v>2453806.4050000003</v>
      </c>
      <c r="K349" s="416">
        <f t="shared" ref="K349:K352" si="93">J367</f>
        <v>2473234.2449000003</v>
      </c>
      <c r="L349" s="416">
        <f t="shared" ref="L349:L352" si="94">K367</f>
        <v>3818209.3864000007</v>
      </c>
      <c r="M349" s="1"/>
      <c r="N349" s="1"/>
      <c r="O349" s="1"/>
    </row>
    <row r="350" spans="1:15">
      <c r="A350" s="1045" t="s">
        <v>30</v>
      </c>
      <c r="B350" s="1" t="s">
        <v>257</v>
      </c>
      <c r="C350" s="92" t="s">
        <v>11</v>
      </c>
      <c r="D350" s="416">
        <v>101500.99999999999</v>
      </c>
      <c r="E350" s="416">
        <v>104180.74</v>
      </c>
      <c r="F350" s="416">
        <f>(74.622+20.347+6.532)*1000</f>
        <v>101500.99999999999</v>
      </c>
      <c r="G350" s="416">
        <v>107360.06200000001</v>
      </c>
      <c r="H350" s="416">
        <v>107360.6</v>
      </c>
      <c r="I350" s="416">
        <v>107360.6</v>
      </c>
      <c r="J350" s="416">
        <f t="shared" si="92"/>
        <v>107704.9455</v>
      </c>
      <c r="K350" s="416">
        <f t="shared" si="93"/>
        <v>108044.6192</v>
      </c>
      <c r="L350" s="416">
        <f t="shared" si="94"/>
        <v>108113.04180000001</v>
      </c>
      <c r="M350" s="1"/>
      <c r="N350" s="1"/>
      <c r="O350" s="1"/>
    </row>
    <row r="351" spans="1:15">
      <c r="A351" s="1045" t="s">
        <v>255</v>
      </c>
      <c r="B351" s="1" t="s">
        <v>258</v>
      </c>
      <c r="C351" s="92" t="s">
        <v>11</v>
      </c>
      <c r="D351" s="416"/>
      <c r="E351" s="416">
        <v>492.83</v>
      </c>
      <c r="F351" s="416"/>
      <c r="G351" s="416">
        <v>492.83100000000002</v>
      </c>
      <c r="H351" s="416">
        <v>492.83</v>
      </c>
      <c r="I351" s="416">
        <v>492.83</v>
      </c>
      <c r="J351" s="416">
        <f t="shared" si="92"/>
        <v>492.83</v>
      </c>
      <c r="K351" s="416">
        <f t="shared" si="93"/>
        <v>55431.661099999998</v>
      </c>
      <c r="L351" s="416">
        <f t="shared" si="94"/>
        <v>61151.358999999997</v>
      </c>
      <c r="M351" s="1"/>
      <c r="N351" s="1"/>
      <c r="O351" s="1"/>
    </row>
    <row r="352" spans="1:15">
      <c r="A352" s="1045" t="s">
        <v>40</v>
      </c>
      <c r="B352" s="1" t="s">
        <v>259</v>
      </c>
      <c r="C352" s="92" t="s">
        <v>11</v>
      </c>
      <c r="D352" s="416"/>
      <c r="E352" s="416">
        <v>0</v>
      </c>
      <c r="F352" s="416"/>
      <c r="G352" s="416">
        <v>42.75</v>
      </c>
      <c r="H352" s="416">
        <v>42.75</v>
      </c>
      <c r="I352" s="416">
        <v>42.75</v>
      </c>
      <c r="J352" s="416">
        <f t="shared" si="92"/>
        <v>0</v>
      </c>
      <c r="K352" s="416">
        <f t="shared" si="93"/>
        <v>53.434299999999986</v>
      </c>
      <c r="L352" s="416">
        <f t="shared" si="94"/>
        <v>107.39969999999997</v>
      </c>
      <c r="M352" s="1"/>
      <c r="N352" s="1"/>
      <c r="O352" s="1"/>
    </row>
    <row r="353" spans="1:15">
      <c r="A353" s="1082" t="s">
        <v>50</v>
      </c>
      <c r="B353" s="39" t="s">
        <v>260</v>
      </c>
      <c r="C353" s="90"/>
      <c r="D353" s="426">
        <f t="shared" ref="D353:O353" si="95">SUM(D354:D358)</f>
        <v>91814.781000000017</v>
      </c>
      <c r="E353" s="426">
        <f t="shared" si="95"/>
        <v>22073.359</v>
      </c>
      <c r="F353" s="426">
        <f t="shared" si="95"/>
        <v>91814.781000000017</v>
      </c>
      <c r="G353" s="426">
        <f t="shared" si="95"/>
        <v>1874249.2451999998</v>
      </c>
      <c r="H353" s="426">
        <f t="shared" si="95"/>
        <v>9888.19</v>
      </c>
      <c r="I353" s="426">
        <f t="shared" si="95"/>
        <v>1731520.8589000001</v>
      </c>
      <c r="J353" s="426">
        <f t="shared" si="95"/>
        <v>78611.194000000003</v>
      </c>
      <c r="K353" s="426">
        <f t="shared" si="95"/>
        <v>1353519.8918999999</v>
      </c>
      <c r="L353" s="426">
        <f t="shared" si="95"/>
        <v>100430.1026</v>
      </c>
      <c r="M353" s="426">
        <f t="shared" si="95"/>
        <v>0</v>
      </c>
      <c r="N353" s="426">
        <f t="shared" si="95"/>
        <v>0</v>
      </c>
      <c r="O353" s="426">
        <f t="shared" si="95"/>
        <v>0</v>
      </c>
    </row>
    <row r="354" spans="1:15">
      <c r="A354" s="1045" t="s">
        <v>52</v>
      </c>
      <c r="B354" s="1" t="s">
        <v>254</v>
      </c>
      <c r="C354" s="92" t="s">
        <v>11</v>
      </c>
      <c r="D354" s="416">
        <v>43182.805</v>
      </c>
      <c r="E354" s="416">
        <v>7063.65</v>
      </c>
      <c r="F354" s="416">
        <f>43182.805</f>
        <v>43182.805</v>
      </c>
      <c r="G354" s="416">
        <f>236941.05*0.52</f>
        <v>123209.34600000001</v>
      </c>
      <c r="H354" s="416">
        <v>1128.53</v>
      </c>
      <c r="I354" s="416">
        <f>200238.72*0.47</f>
        <v>94112.198399999994</v>
      </c>
      <c r="J354" s="416">
        <f>4351.52*0.47</f>
        <v>2045.2144000000001</v>
      </c>
      <c r="K354" s="416">
        <f>4395.04*0.47</f>
        <v>2065.6687999999999</v>
      </c>
      <c r="L354" s="416">
        <f>369574.64*0.1</f>
        <v>36957.464</v>
      </c>
      <c r="M354" s="1"/>
      <c r="N354" s="1"/>
      <c r="O354" s="1"/>
    </row>
    <row r="355" spans="1:15" ht="30">
      <c r="A355" s="521" t="s">
        <v>54</v>
      </c>
      <c r="B355" s="60" t="s">
        <v>256</v>
      </c>
      <c r="C355" s="2" t="s">
        <v>11</v>
      </c>
      <c r="D355" s="416">
        <v>39098.300000000003</v>
      </c>
      <c r="E355" s="416">
        <v>11145.9</v>
      </c>
      <c r="F355" s="416">
        <f>39098.3</f>
        <v>39098.300000000003</v>
      </c>
      <c r="G355" s="416">
        <f>(1858963-1471530)*0.52+1472530</f>
        <v>1673995.16</v>
      </c>
      <c r="H355" s="416">
        <v>8618.56</v>
      </c>
      <c r="I355" s="416">
        <f>1818960.35*0.9</f>
        <v>1637064.3150000002</v>
      </c>
      <c r="J355" s="416">
        <f>98539.4*0.2</f>
        <v>19707.88</v>
      </c>
      <c r="K355" s="416">
        <f>1446513.96*0.93</f>
        <v>1345257.9828000001</v>
      </c>
      <c r="L355" s="416">
        <f>27719.07*0.42</f>
        <v>11642.009399999999</v>
      </c>
      <c r="M355" s="1"/>
      <c r="N355" s="1"/>
      <c r="O355" s="1"/>
    </row>
    <row r="356" spans="1:15">
      <c r="A356" s="1045" t="s">
        <v>56</v>
      </c>
      <c r="B356" s="1" t="s">
        <v>257</v>
      </c>
      <c r="C356" s="92" t="s">
        <v>11</v>
      </c>
      <c r="D356" s="416">
        <v>9533.6759999999995</v>
      </c>
      <c r="E356" s="416">
        <v>3821.0590000000002</v>
      </c>
      <c r="F356" s="416">
        <f>306.81+8742.63+484.236</f>
        <v>9533.6759999999995</v>
      </c>
      <c r="G356" s="416">
        <f>28587.04*0.52</f>
        <v>14865.260800000002</v>
      </c>
      <c r="H356" s="416">
        <v>141.1</v>
      </c>
      <c r="I356" s="416">
        <f>732.65*0.47</f>
        <v>344.34549999999996</v>
      </c>
      <c r="J356" s="416">
        <f>739.97*0.47</f>
        <v>347.78589999999997</v>
      </c>
      <c r="K356" s="416">
        <f>747.37*0.47</f>
        <v>351.26389999999998</v>
      </c>
      <c r="L356" s="416">
        <f>754.84*0.42</f>
        <v>317.03280000000001</v>
      </c>
      <c r="M356" s="1"/>
      <c r="N356" s="1"/>
      <c r="O356" s="1"/>
    </row>
    <row r="357" spans="1:15">
      <c r="A357" s="1045" t="s">
        <v>261</v>
      </c>
      <c r="B357" s="1" t="s">
        <v>258</v>
      </c>
      <c r="C357" s="92" t="s">
        <v>11</v>
      </c>
      <c r="D357" s="416"/>
      <c r="E357" s="416">
        <v>0</v>
      </c>
      <c r="F357" s="416"/>
      <c r="G357" s="416">
        <f>119391.09*0.52</f>
        <v>62083.366800000003</v>
      </c>
      <c r="H357" s="416">
        <v>0</v>
      </c>
      <c r="I357" s="416">
        <v>0</v>
      </c>
      <c r="J357" s="416">
        <f>119988.05*0.47</f>
        <v>56394.383499999996</v>
      </c>
      <c r="K357" s="416">
        <f>12187*0.47</f>
        <v>5727.8899999999994</v>
      </c>
      <c r="L357" s="416">
        <f>122399.81*0.42</f>
        <v>51407.9202</v>
      </c>
      <c r="M357" s="1"/>
      <c r="N357" s="1"/>
      <c r="O357" s="1"/>
    </row>
    <row r="358" spans="1:15">
      <c r="A358" s="1045" t="s">
        <v>262</v>
      </c>
      <c r="B358" s="1" t="s">
        <v>259</v>
      </c>
      <c r="C358" s="92" t="s">
        <v>11</v>
      </c>
      <c r="D358" s="416"/>
      <c r="E358" s="416">
        <v>42.75</v>
      </c>
      <c r="F358" s="416"/>
      <c r="G358" s="416">
        <f>184.83*0.52</f>
        <v>96.11160000000001</v>
      </c>
      <c r="H358" s="416">
        <v>0</v>
      </c>
      <c r="I358" s="416"/>
      <c r="J358" s="416">
        <f>246.66*0.47</f>
        <v>115.93019999999999</v>
      </c>
      <c r="K358" s="416">
        <f>249.12*0.47</f>
        <v>117.0864</v>
      </c>
      <c r="L358" s="416">
        <f>251.61*0.42</f>
        <v>105.67620000000001</v>
      </c>
      <c r="M358" s="1"/>
      <c r="N358" s="1"/>
      <c r="O358" s="1"/>
    </row>
    <row r="359" spans="1:15">
      <c r="A359" s="1078">
        <v>3</v>
      </c>
      <c r="B359" s="72" t="s">
        <v>263</v>
      </c>
      <c r="C359" s="96" t="s">
        <v>11</v>
      </c>
      <c r="D359" s="426">
        <f t="shared" ref="D359:O359" si="96">SUM(D360:D364)</f>
        <v>5877.1339999999991</v>
      </c>
      <c r="E359" s="426">
        <f t="shared" si="96"/>
        <v>2094.317</v>
      </c>
      <c r="F359" s="426">
        <f t="shared" si="96"/>
        <v>5877.1339999999991</v>
      </c>
      <c r="G359" s="426">
        <f t="shared" si="96"/>
        <v>6074.9884000000002</v>
      </c>
      <c r="H359" s="426">
        <f t="shared" si="96"/>
        <v>275.74900000000002</v>
      </c>
      <c r="I359" s="426">
        <f t="shared" si="96"/>
        <v>589</v>
      </c>
      <c r="J359" s="426">
        <f t="shared" si="96"/>
        <v>4257.4056999999993</v>
      </c>
      <c r="K359" s="426">
        <f t="shared" si="96"/>
        <v>3112.7112999999999</v>
      </c>
      <c r="L359" s="426">
        <f t="shared" si="96"/>
        <v>6259.0632000000005</v>
      </c>
      <c r="M359" s="426">
        <f t="shared" si="96"/>
        <v>0</v>
      </c>
      <c r="N359" s="426">
        <f t="shared" si="96"/>
        <v>0</v>
      </c>
      <c r="O359" s="426">
        <f t="shared" si="96"/>
        <v>0</v>
      </c>
    </row>
    <row r="360" spans="1:15">
      <c r="A360" s="538" t="s">
        <v>64</v>
      </c>
      <c r="B360" s="1" t="s">
        <v>254</v>
      </c>
      <c r="C360" s="92" t="s">
        <v>11</v>
      </c>
      <c r="D360" s="416"/>
      <c r="E360" s="416">
        <v>0</v>
      </c>
      <c r="F360" s="416"/>
      <c r="G360" s="416">
        <f>5189.38*0.52</f>
        <v>2698.4776000000002</v>
      </c>
      <c r="H360" s="416">
        <v>0</v>
      </c>
      <c r="I360" s="416">
        <v>0</v>
      </c>
      <c r="J360" s="416">
        <f>5215.33*0.47</f>
        <v>2451.2050999999997</v>
      </c>
      <c r="K360" s="416">
        <f>5267.48*0.47</f>
        <v>2475.7155999999995</v>
      </c>
      <c r="L360" s="416">
        <f>5346.62*0.52</f>
        <v>2780.2424000000001</v>
      </c>
      <c r="M360" s="1"/>
      <c r="N360" s="1"/>
      <c r="O360" s="1"/>
    </row>
    <row r="361" spans="1:15" ht="30">
      <c r="A361" s="521" t="s">
        <v>80</v>
      </c>
      <c r="B361" s="60" t="s">
        <v>256</v>
      </c>
      <c r="C361" s="92" t="s">
        <v>11</v>
      </c>
      <c r="D361" s="416">
        <v>255.923</v>
      </c>
      <c r="E361" s="416">
        <f>1385</f>
        <v>1385</v>
      </c>
      <c r="F361" s="416">
        <f>212.024+43.899</f>
        <v>255.923</v>
      </c>
      <c r="G361" s="416">
        <f>2175.54*0.52</f>
        <v>1131.2808</v>
      </c>
      <c r="H361" s="416">
        <f>586.7*0.47</f>
        <v>275.74900000000002</v>
      </c>
      <c r="I361" s="416">
        <f>589</f>
        <v>589</v>
      </c>
      <c r="J361" s="416">
        <f>595.83*0.47</f>
        <v>280.0401</v>
      </c>
      <c r="K361" s="416">
        <f>601.79*0.47</f>
        <v>282.84129999999999</v>
      </c>
      <c r="L361" s="416">
        <f>2241.46*0.52</f>
        <v>1165.5592000000001</v>
      </c>
      <c r="M361" s="1"/>
      <c r="N361" s="1"/>
      <c r="O361" s="1"/>
    </row>
    <row r="362" spans="1:15">
      <c r="A362" s="538" t="s">
        <v>86</v>
      </c>
      <c r="B362" s="1" t="s">
        <v>257</v>
      </c>
      <c r="C362" s="92" t="s">
        <v>11</v>
      </c>
      <c r="D362" s="416">
        <v>5621.2109999999993</v>
      </c>
      <c r="E362" s="416">
        <v>641.197</v>
      </c>
      <c r="F362" s="416">
        <f>162.816+2886.313+2572.082</f>
        <v>5621.2109999999993</v>
      </c>
      <c r="G362" s="416">
        <f>1103.93*0.52</f>
        <v>574.04360000000008</v>
      </c>
      <c r="H362" s="416">
        <v>0</v>
      </c>
      <c r="I362" s="416"/>
      <c r="J362" s="416">
        <f>17.26*0.47</f>
        <v>8.1121999999999996</v>
      </c>
      <c r="K362" s="416">
        <f>601.79*0.47</f>
        <v>282.84129999999999</v>
      </c>
      <c r="L362" s="416">
        <f>1137.38*0.52</f>
        <v>591.43760000000009</v>
      </c>
      <c r="M362" s="1"/>
      <c r="N362" s="1"/>
      <c r="O362" s="1"/>
    </row>
    <row r="363" spans="1:15">
      <c r="A363" s="538" t="s">
        <v>88</v>
      </c>
      <c r="B363" s="1" t="s">
        <v>258</v>
      </c>
      <c r="C363" s="92" t="s">
        <v>11</v>
      </c>
      <c r="D363" s="416"/>
      <c r="E363" s="416">
        <v>0</v>
      </c>
      <c r="F363" s="416"/>
      <c r="G363" s="416">
        <f>3081.51*0.52</f>
        <v>1602.3852000000002</v>
      </c>
      <c r="H363" s="416">
        <v>0</v>
      </c>
      <c r="I363" s="416"/>
      <c r="J363" s="416">
        <f>3096.92*0.47</f>
        <v>1455.5524</v>
      </c>
      <c r="K363" s="416">
        <f>17.43*0.47</f>
        <v>8.1920999999999999</v>
      </c>
      <c r="L363" s="416">
        <f>3174.88*0.52</f>
        <v>1650.9376000000002</v>
      </c>
      <c r="M363" s="1"/>
      <c r="N363" s="1"/>
      <c r="O363" s="1"/>
    </row>
    <row r="364" spans="1:15">
      <c r="A364" s="538" t="s">
        <v>90</v>
      </c>
      <c r="B364" s="1" t="s">
        <v>259</v>
      </c>
      <c r="C364" s="92" t="s">
        <v>11</v>
      </c>
      <c r="D364" s="416"/>
      <c r="E364" s="416">
        <f>131*0.52</f>
        <v>68.12</v>
      </c>
      <c r="F364" s="416"/>
      <c r="G364" s="416">
        <f>132.31*0.52</f>
        <v>68.801200000000009</v>
      </c>
      <c r="H364" s="416"/>
      <c r="I364" s="416"/>
      <c r="J364" s="416">
        <f>132.97*0.47</f>
        <v>62.495899999999999</v>
      </c>
      <c r="K364" s="416">
        <f>134.3*0.47</f>
        <v>63.121000000000002</v>
      </c>
      <c r="L364" s="416">
        <f>136.32*0.52</f>
        <v>70.886399999999995</v>
      </c>
      <c r="M364" s="1"/>
      <c r="N364" s="1"/>
      <c r="O364" s="1"/>
    </row>
    <row r="365" spans="1:15" ht="30">
      <c r="A365" s="536">
        <v>4</v>
      </c>
      <c r="B365" s="98" t="s">
        <v>264</v>
      </c>
      <c r="C365" s="99"/>
      <c r="D365" s="426">
        <f t="shared" ref="D365:O365" si="97">SUM(D366:D370)</f>
        <v>1023382.3582</v>
      </c>
      <c r="E365" s="426">
        <f t="shared" si="97"/>
        <v>1065073.0320000001</v>
      </c>
      <c r="F365" s="426">
        <f t="shared" si="97"/>
        <v>269425.94569999998</v>
      </c>
      <c r="G365" s="426">
        <f t="shared" si="97"/>
        <v>2934916.7694000001</v>
      </c>
      <c r="H365" s="426">
        <f t="shared" si="97"/>
        <v>1074641.9610000001</v>
      </c>
      <c r="I365" s="426">
        <f t="shared" si="97"/>
        <v>2795961.3789000004</v>
      </c>
      <c r="J365" s="426">
        <f t="shared" si="97"/>
        <v>2870315.1672000005</v>
      </c>
      <c r="K365" s="426">
        <f t="shared" si="97"/>
        <v>4220722.3478000006</v>
      </c>
      <c r="L365" s="426">
        <f t="shared" si="97"/>
        <v>4314859.6713970006</v>
      </c>
      <c r="M365" s="426">
        <f t="shared" si="97"/>
        <v>0</v>
      </c>
      <c r="N365" s="426">
        <f t="shared" si="97"/>
        <v>0</v>
      </c>
      <c r="O365" s="426">
        <f t="shared" si="97"/>
        <v>0</v>
      </c>
    </row>
    <row r="366" spans="1:15">
      <c r="A366" s="538" t="s">
        <v>101</v>
      </c>
      <c r="B366" s="1" t="s">
        <v>254</v>
      </c>
      <c r="C366" s="92" t="s">
        <v>11</v>
      </c>
      <c r="D366" s="416">
        <v>943155.80500000005</v>
      </c>
      <c r="E366" s="416">
        <f>E348+E354-E360</f>
        <v>139845.44999999998</v>
      </c>
      <c r="F366" s="416">
        <f t="shared" ref="F366:G366" si="98">F348+F354-F360</f>
        <v>189156.215</v>
      </c>
      <c r="G366" s="416">
        <f t="shared" si="98"/>
        <v>260356.26839999997</v>
      </c>
      <c r="H366" s="416">
        <f>H348+H354-H360</f>
        <v>140973.53</v>
      </c>
      <c r="I366" s="416">
        <f>I348+I354-I360</f>
        <v>233957.19839999999</v>
      </c>
      <c r="J366" s="416">
        <f t="shared" ref="J366:K366" si="99">J348+J354-J360</f>
        <v>233551.2077</v>
      </c>
      <c r="K366" s="416">
        <f t="shared" si="99"/>
        <v>233141.16090000002</v>
      </c>
      <c r="L366" s="416">
        <f t="shared" ref="L366" si="100">L348+L354-L360</f>
        <v>267318.38250000001</v>
      </c>
      <c r="M366" s="1"/>
      <c r="N366" s="1"/>
      <c r="O366" s="1"/>
    </row>
    <row r="367" spans="1:15" ht="30">
      <c r="A367" s="538" t="s">
        <v>265</v>
      </c>
      <c r="B367" s="60" t="s">
        <v>256</v>
      </c>
      <c r="C367" s="92" t="s">
        <v>11</v>
      </c>
      <c r="D367" s="416">
        <v>38842.377</v>
      </c>
      <c r="E367" s="416">
        <f t="shared" ref="E367:E369" si="101">E349+E355-E361</f>
        <v>817331.4</v>
      </c>
      <c r="F367" s="416">
        <f t="shared" ref="F367:G367" si="102">F349+F355-F361</f>
        <v>38842.377</v>
      </c>
      <c r="G367" s="416">
        <f t="shared" si="102"/>
        <v>2490194.9692000002</v>
      </c>
      <c r="H367" s="416">
        <f t="shared" ref="H367:K367" si="103">H349+H355-H361</f>
        <v>825673.90100000007</v>
      </c>
      <c r="I367" s="416">
        <f t="shared" si="103"/>
        <v>2453806.4050000003</v>
      </c>
      <c r="J367" s="416">
        <f t="shared" si="103"/>
        <v>2473234.2449000003</v>
      </c>
      <c r="K367" s="416">
        <f t="shared" si="103"/>
        <v>3818209.3864000007</v>
      </c>
      <c r="L367" s="416">
        <f t="shared" ref="L367" si="104">L349+L355-L361</f>
        <v>3828685.8366000005</v>
      </c>
      <c r="M367" s="1"/>
      <c r="N367" s="1"/>
      <c r="O367" s="1"/>
    </row>
    <row r="368" spans="1:15">
      <c r="A368" s="538" t="s">
        <v>266</v>
      </c>
      <c r="B368" s="1" t="s">
        <v>257</v>
      </c>
      <c r="C368" s="92" t="s">
        <v>11</v>
      </c>
      <c r="D368" s="416">
        <v>3912.4650000000001</v>
      </c>
      <c r="E368" s="416">
        <f t="shared" si="101"/>
        <v>107360.602</v>
      </c>
      <c r="F368" s="416">
        <f t="shared" ref="F368" si="105">F351+F356-F362</f>
        <v>3912.4650000000001</v>
      </c>
      <c r="G368" s="416">
        <f t="shared" ref="G368" si="106">G350+G356-G362</f>
        <v>121651.2792</v>
      </c>
      <c r="H368" s="416">
        <f t="shared" ref="H368:K368" si="107">H350+H356-H362</f>
        <v>107501.70000000001</v>
      </c>
      <c r="I368" s="416">
        <f t="shared" si="107"/>
        <v>107704.9455</v>
      </c>
      <c r="J368" s="416">
        <f t="shared" si="107"/>
        <v>108044.6192</v>
      </c>
      <c r="K368" s="416">
        <f t="shared" si="107"/>
        <v>108113.04180000001</v>
      </c>
      <c r="L368" s="416">
        <f t="shared" ref="L368" si="108">L350+L356-L362</f>
        <v>107838.637</v>
      </c>
      <c r="M368" s="1"/>
      <c r="N368" s="1"/>
      <c r="O368" s="1"/>
    </row>
    <row r="369" spans="1:16">
      <c r="A369" s="538" t="s">
        <v>267</v>
      </c>
      <c r="B369" s="1" t="s">
        <v>258</v>
      </c>
      <c r="C369" s="92" t="s">
        <v>11</v>
      </c>
      <c r="D369" s="416">
        <v>37471.711200000005</v>
      </c>
      <c r="E369" s="416">
        <f t="shared" si="101"/>
        <v>492.83</v>
      </c>
      <c r="F369" s="416">
        <f t="shared" ref="F369" si="109">86901*0.44*0.98</f>
        <v>37471.711200000005</v>
      </c>
      <c r="G369" s="416">
        <f t="shared" ref="G369" si="110">G351+G357-G363</f>
        <v>60973.812600000005</v>
      </c>
      <c r="H369" s="416">
        <f t="shared" ref="H369:K369" si="111">H351+H357-H363</f>
        <v>492.83</v>
      </c>
      <c r="I369" s="416">
        <f t="shared" si="111"/>
        <v>492.83</v>
      </c>
      <c r="J369" s="416">
        <f t="shared" si="111"/>
        <v>55431.661099999998</v>
      </c>
      <c r="K369" s="416">
        <f t="shared" si="111"/>
        <v>61151.358999999997</v>
      </c>
      <c r="L369" s="416">
        <f t="shared" ref="L369" si="112">L351+L357-L363</f>
        <v>110908.34159999999</v>
      </c>
      <c r="M369" s="1"/>
      <c r="N369" s="1"/>
      <c r="O369" s="1"/>
    </row>
    <row r="370" spans="1:16">
      <c r="A370" s="538" t="s">
        <v>268</v>
      </c>
      <c r="B370" s="1" t="s">
        <v>259</v>
      </c>
      <c r="C370" s="92" t="s">
        <v>11</v>
      </c>
      <c r="D370" s="416"/>
      <c r="E370" s="427">
        <v>42.75</v>
      </c>
      <c r="F370" s="416">
        <f>E370*1.01</f>
        <v>43.177500000000002</v>
      </c>
      <c r="G370" s="416">
        <f>3347*0.52</f>
        <v>1740.44</v>
      </c>
      <c r="H370" s="416"/>
      <c r="I370" s="416"/>
      <c r="J370" s="416">
        <f t="shared" ref="J370:K370" si="113">J352+J358-J364</f>
        <v>53.434299999999986</v>
      </c>
      <c r="K370" s="416">
        <f t="shared" si="113"/>
        <v>107.39969999999997</v>
      </c>
      <c r="L370" s="416">
        <f t="shared" ref="L370" si="114">K370*1.01</f>
        <v>108.47369699999997</v>
      </c>
      <c r="M370" s="1"/>
      <c r="N370" s="1"/>
      <c r="O370" s="1"/>
    </row>
    <row r="371" spans="1:16">
      <c r="A371" s="1028" t="s">
        <v>221</v>
      </c>
      <c r="B371" s="39" t="s">
        <v>269</v>
      </c>
      <c r="C371" s="96"/>
      <c r="D371" s="426">
        <v>0</v>
      </c>
      <c r="E371" s="426">
        <v>952919.53391999984</v>
      </c>
      <c r="F371" s="426">
        <f t="shared" ref="F371:O371" si="115">SUM(F372:F376)</f>
        <v>258450.17784999998</v>
      </c>
      <c r="G371" s="426">
        <f>SUM(G372:G376)</f>
        <v>1999994.4512</v>
      </c>
      <c r="H371" s="426">
        <f>SUM(H372:H376)</f>
        <v>1069857.1155000001</v>
      </c>
      <c r="I371" s="426">
        <f>SUM(I372:I376)</f>
        <v>1930516.8244500002</v>
      </c>
      <c r="J371" s="426">
        <f t="shared" si="115"/>
        <v>2833138.2730500004</v>
      </c>
      <c r="K371" s="426">
        <f t="shared" si="115"/>
        <v>3545518.7575000003</v>
      </c>
      <c r="L371" s="426">
        <f t="shared" si="115"/>
        <v>4267791.0095985001</v>
      </c>
      <c r="M371" s="426">
        <f t="shared" si="115"/>
        <v>0</v>
      </c>
      <c r="N371" s="426">
        <f t="shared" si="115"/>
        <v>0</v>
      </c>
      <c r="O371" s="426">
        <f t="shared" si="115"/>
        <v>0</v>
      </c>
    </row>
    <row r="372" spans="1:16">
      <c r="A372" s="538" t="s">
        <v>105</v>
      </c>
      <c r="B372" s="1" t="s">
        <v>254</v>
      </c>
      <c r="C372" s="92" t="s">
        <v>11</v>
      </c>
      <c r="D372" s="416">
        <f>(D348+D366)/2</f>
        <v>921564.40250000008</v>
      </c>
      <c r="E372" s="416">
        <f t="shared" ref="E372:F372" si="116">(E348+E366)/2</f>
        <v>136313.625</v>
      </c>
      <c r="F372" s="416">
        <f t="shared" si="116"/>
        <v>167564.8125</v>
      </c>
      <c r="G372" s="416">
        <f t="shared" ref="G372:I376" si="117">(G348+G366)/2</f>
        <v>200100.83419999998</v>
      </c>
      <c r="H372" s="416">
        <f t="shared" si="117"/>
        <v>140409.26500000001</v>
      </c>
      <c r="I372" s="416">
        <f t="shared" si="117"/>
        <v>186901.0992</v>
      </c>
      <c r="J372" s="416">
        <f t="shared" ref="J372" si="118">(J348+J366)/2</f>
        <v>233754.20305000001</v>
      </c>
      <c r="K372" s="416">
        <f t="shared" ref="K372:K376" si="119">(K348+K366)/2</f>
        <v>233346.18430000002</v>
      </c>
      <c r="L372" s="416">
        <f t="shared" ref="L372" si="120">(L348+L366)/2</f>
        <v>250229.77170000001</v>
      </c>
      <c r="M372" s="1"/>
      <c r="N372" s="1"/>
      <c r="O372" s="1"/>
    </row>
    <row r="373" spans="1:16" ht="30">
      <c r="A373" s="538" t="s">
        <v>270</v>
      </c>
      <c r="B373" s="60" t="s">
        <v>256</v>
      </c>
      <c r="C373" s="92" t="s">
        <v>11</v>
      </c>
      <c r="D373" s="416">
        <f t="shared" ref="D373:F376" si="121">(D349+D367)/2</f>
        <v>19421.1885</v>
      </c>
      <c r="E373" s="416">
        <f t="shared" si="121"/>
        <v>812450.95</v>
      </c>
      <c r="F373" s="416">
        <f t="shared" si="121"/>
        <v>19421.1885</v>
      </c>
      <c r="G373" s="416">
        <f t="shared" si="117"/>
        <v>1653763.0296</v>
      </c>
      <c r="H373" s="416">
        <f t="shared" si="117"/>
        <v>821502.49549999996</v>
      </c>
      <c r="I373" s="416">
        <f t="shared" si="117"/>
        <v>1635568.7475000001</v>
      </c>
      <c r="J373" s="416">
        <f t="shared" ref="J373" si="122">(J349+J367)/2</f>
        <v>2463520.3249500003</v>
      </c>
      <c r="K373" s="416">
        <f t="shared" si="119"/>
        <v>3145721.8156500002</v>
      </c>
      <c r="L373" s="416">
        <f t="shared" ref="L373" si="123">(L349+L367)/2</f>
        <v>3823447.6115000006</v>
      </c>
      <c r="M373" s="1"/>
      <c r="N373" s="1"/>
      <c r="O373" s="1"/>
    </row>
    <row r="374" spans="1:16">
      <c r="A374" s="538" t="s">
        <v>271</v>
      </c>
      <c r="B374" s="1" t="s">
        <v>257</v>
      </c>
      <c r="C374" s="92" t="s">
        <v>11</v>
      </c>
      <c r="D374" s="416">
        <f t="shared" si="121"/>
        <v>52706.732499999991</v>
      </c>
      <c r="E374" s="416">
        <f t="shared" si="121"/>
        <v>105770.671</v>
      </c>
      <c r="F374" s="416">
        <f t="shared" si="121"/>
        <v>52706.732499999991</v>
      </c>
      <c r="G374" s="416">
        <f t="shared" si="117"/>
        <v>114505.67060000001</v>
      </c>
      <c r="H374" s="416">
        <f>(H350+H368)/2</f>
        <v>107431.15000000001</v>
      </c>
      <c r="I374" s="416">
        <f t="shared" si="117"/>
        <v>107532.77275</v>
      </c>
      <c r="J374" s="416">
        <f t="shared" ref="J374" si="124">(J350+J368)/2</f>
        <v>107874.78234999999</v>
      </c>
      <c r="K374" s="416">
        <f t="shared" si="119"/>
        <v>108078.83050000001</v>
      </c>
      <c r="L374" s="416">
        <f t="shared" ref="L374" si="125">(L350+L368)/2</f>
        <v>107975.8394</v>
      </c>
      <c r="M374" s="1"/>
      <c r="N374" s="1"/>
      <c r="O374" s="1"/>
    </row>
    <row r="375" spans="1:16">
      <c r="A375" s="538" t="s">
        <v>272</v>
      </c>
      <c r="B375" s="1" t="s">
        <v>258</v>
      </c>
      <c r="C375" s="92" t="s">
        <v>11</v>
      </c>
      <c r="D375" s="416">
        <f t="shared" si="121"/>
        <v>18735.855600000003</v>
      </c>
      <c r="E375" s="416">
        <f t="shared" si="121"/>
        <v>492.83</v>
      </c>
      <c r="F375" s="416">
        <f t="shared" si="121"/>
        <v>18735.855600000003</v>
      </c>
      <c r="G375" s="416">
        <f t="shared" si="117"/>
        <v>30733.321800000002</v>
      </c>
      <c r="H375" s="416">
        <f t="shared" si="117"/>
        <v>492.83</v>
      </c>
      <c r="I375" s="416">
        <f t="shared" si="117"/>
        <v>492.83</v>
      </c>
      <c r="J375" s="416">
        <f t="shared" ref="J375" si="126">(J351+J369)/2</f>
        <v>27962.24555</v>
      </c>
      <c r="K375" s="416">
        <f t="shared" si="119"/>
        <v>58291.510049999997</v>
      </c>
      <c r="L375" s="416">
        <f t="shared" ref="L375" si="127">(L351+L369)/2</f>
        <v>86029.850299999991</v>
      </c>
      <c r="M375" s="1"/>
      <c r="N375" s="1"/>
      <c r="O375" s="1"/>
    </row>
    <row r="376" spans="1:16">
      <c r="A376" s="538" t="s">
        <v>273</v>
      </c>
      <c r="B376" s="1" t="s">
        <v>259</v>
      </c>
      <c r="C376" s="92" t="s">
        <v>11</v>
      </c>
      <c r="D376" s="416">
        <f t="shared" si="121"/>
        <v>0</v>
      </c>
      <c r="E376" s="416">
        <f t="shared" si="121"/>
        <v>21.375</v>
      </c>
      <c r="F376" s="416">
        <f t="shared" si="121"/>
        <v>21.588750000000001</v>
      </c>
      <c r="G376" s="416">
        <f t="shared" si="117"/>
        <v>891.59500000000003</v>
      </c>
      <c r="H376" s="416">
        <f>(H352+H370)/2</f>
        <v>21.375</v>
      </c>
      <c r="I376" s="416">
        <f t="shared" si="117"/>
        <v>21.375</v>
      </c>
      <c r="J376" s="416">
        <f t="shared" ref="J376:L376" si="128">(J352+J370)/2</f>
        <v>26.717149999999993</v>
      </c>
      <c r="K376" s="416">
        <f t="shared" si="119"/>
        <v>80.416999999999973</v>
      </c>
      <c r="L376" s="416">
        <f t="shared" si="128"/>
        <v>107.93669849999998</v>
      </c>
      <c r="M376" s="1"/>
      <c r="N376" s="1"/>
      <c r="O376" s="1"/>
    </row>
    <row r="377" spans="1:16" ht="30">
      <c r="A377" s="1064">
        <v>6</v>
      </c>
      <c r="B377" s="72" t="s">
        <v>274</v>
      </c>
      <c r="C377" s="85" t="s">
        <v>280</v>
      </c>
      <c r="D377" s="426">
        <f t="shared" ref="D377:O377" si="129">SUM(D378:D382)</f>
        <v>401.72999999999996</v>
      </c>
      <c r="E377" s="426">
        <f t="shared" si="129"/>
        <v>398.06</v>
      </c>
      <c r="F377" s="426">
        <f t="shared" si="129"/>
        <v>402.05</v>
      </c>
      <c r="G377" s="426">
        <f t="shared" si="129"/>
        <v>402.05</v>
      </c>
      <c r="H377" s="426">
        <f t="shared" si="129"/>
        <v>411.47</v>
      </c>
      <c r="I377" s="426">
        <f t="shared" si="129"/>
        <v>411.47</v>
      </c>
      <c r="J377" s="426">
        <f t="shared" si="129"/>
        <v>415.57000000000005</v>
      </c>
      <c r="K377" s="426">
        <f t="shared" si="129"/>
        <v>419.75</v>
      </c>
      <c r="L377" s="426">
        <f t="shared" si="129"/>
        <v>423.82000000000005</v>
      </c>
      <c r="M377" s="426">
        <f t="shared" si="129"/>
        <v>0</v>
      </c>
      <c r="N377" s="426">
        <f t="shared" si="129"/>
        <v>0</v>
      </c>
      <c r="O377" s="426">
        <f t="shared" si="129"/>
        <v>0</v>
      </c>
    </row>
    <row r="378" spans="1:16">
      <c r="A378" s="521" t="s">
        <v>108</v>
      </c>
      <c r="B378" s="1" t="s">
        <v>254</v>
      </c>
      <c r="C378" s="92" t="s">
        <v>280</v>
      </c>
      <c r="D378" s="438">
        <v>62.82</v>
      </c>
      <c r="E378" s="438">
        <v>60.93</v>
      </c>
      <c r="F378" s="438">
        <v>61.54</v>
      </c>
      <c r="G378" s="438">
        <v>61.54</v>
      </c>
      <c r="H378" s="438">
        <v>63.06</v>
      </c>
      <c r="I378" s="438">
        <v>63.06</v>
      </c>
      <c r="J378" s="438">
        <v>63.69</v>
      </c>
      <c r="K378" s="438">
        <v>64.33</v>
      </c>
      <c r="L378" s="438">
        <v>64.97</v>
      </c>
      <c r="M378" s="1"/>
      <c r="N378" s="1"/>
      <c r="O378" s="1"/>
    </row>
    <row r="379" spans="1:16" ht="30">
      <c r="A379" s="521" t="s">
        <v>110</v>
      </c>
      <c r="B379" s="60" t="s">
        <v>256</v>
      </c>
      <c r="C379" s="92" t="s">
        <v>280</v>
      </c>
      <c r="D379" s="438">
        <v>74.81</v>
      </c>
      <c r="E379" s="438">
        <v>75.56</v>
      </c>
      <c r="F379" s="438">
        <v>76.319999999999993</v>
      </c>
      <c r="G379" s="438">
        <v>76.319999999999993</v>
      </c>
      <c r="H379" s="438">
        <v>75.040000000000006</v>
      </c>
      <c r="I379" s="438">
        <v>75.040000000000006</v>
      </c>
      <c r="J379" s="438">
        <v>75.790000000000006</v>
      </c>
      <c r="K379" s="438">
        <v>76.55</v>
      </c>
      <c r="L379" s="438">
        <v>77.2</v>
      </c>
      <c r="M379" s="1"/>
      <c r="N379" s="1"/>
      <c r="O379" s="1"/>
    </row>
    <row r="380" spans="1:16">
      <c r="A380" s="521" t="s">
        <v>112</v>
      </c>
      <c r="B380" s="1" t="s">
        <v>257</v>
      </c>
      <c r="C380" s="92" t="s">
        <v>280</v>
      </c>
      <c r="D380" s="438">
        <v>89.64</v>
      </c>
      <c r="E380" s="438">
        <v>89.33</v>
      </c>
      <c r="F380" s="438">
        <v>90.22</v>
      </c>
      <c r="G380" s="438">
        <v>90.22</v>
      </c>
      <c r="H380" s="438">
        <v>94.67</v>
      </c>
      <c r="I380" s="438">
        <v>94.67</v>
      </c>
      <c r="J380" s="438">
        <v>95.61</v>
      </c>
      <c r="K380" s="438">
        <v>96.57</v>
      </c>
      <c r="L380" s="438">
        <v>97.53</v>
      </c>
      <c r="M380" s="1"/>
      <c r="N380" s="1"/>
      <c r="O380" s="1"/>
    </row>
    <row r="381" spans="1:16">
      <c r="A381" s="521" t="s">
        <v>114</v>
      </c>
      <c r="B381" s="1" t="s">
        <v>258</v>
      </c>
      <c r="C381" s="92" t="s">
        <v>280</v>
      </c>
      <c r="D381" s="438">
        <v>79.760000000000005</v>
      </c>
      <c r="E381" s="438">
        <v>78.61</v>
      </c>
      <c r="F381" s="438">
        <v>79.400000000000006</v>
      </c>
      <c r="G381" s="438">
        <v>79.400000000000006</v>
      </c>
      <c r="H381" s="438">
        <v>82.38</v>
      </c>
      <c r="I381" s="438">
        <v>82.38</v>
      </c>
      <c r="J381" s="438">
        <v>83.2</v>
      </c>
      <c r="K381" s="438">
        <v>84.04</v>
      </c>
      <c r="L381" s="438">
        <v>84.88</v>
      </c>
      <c r="M381" s="1"/>
      <c r="N381" s="1"/>
      <c r="O381" s="1"/>
    </row>
    <row r="382" spans="1:16">
      <c r="A382" s="521" t="s">
        <v>275</v>
      </c>
      <c r="B382" s="1" t="s">
        <v>259</v>
      </c>
      <c r="C382" s="92" t="s">
        <v>280</v>
      </c>
      <c r="D382" s="438">
        <v>94.7</v>
      </c>
      <c r="E382" s="438">
        <v>93.63</v>
      </c>
      <c r="F382" s="438">
        <v>94.57</v>
      </c>
      <c r="G382" s="438">
        <v>94.57</v>
      </c>
      <c r="H382" s="438">
        <v>96.32</v>
      </c>
      <c r="I382" s="438">
        <v>96.32</v>
      </c>
      <c r="J382" s="438">
        <v>97.28</v>
      </c>
      <c r="K382" s="438">
        <v>98.26</v>
      </c>
      <c r="L382" s="438">
        <v>99.24</v>
      </c>
      <c r="M382" s="2650"/>
      <c r="N382" s="2650"/>
      <c r="O382" s="2650"/>
      <c r="P382" s="790"/>
    </row>
    <row r="383" spans="1:16" ht="42.75" customHeight="1">
      <c r="A383" s="536" t="s">
        <v>276</v>
      </c>
      <c r="B383" s="72" t="s">
        <v>1508</v>
      </c>
      <c r="C383" s="85" t="s">
        <v>11</v>
      </c>
      <c r="D383" s="449">
        <f t="shared" ref="D383:O383" si="130">SUM(D384:D388)</f>
        <v>34140.699999999997</v>
      </c>
      <c r="E383" s="449">
        <f t="shared" si="130"/>
        <v>30982.585999999999</v>
      </c>
      <c r="F383" s="1776">
        <f t="shared" si="130"/>
        <v>34140.699999999997</v>
      </c>
      <c r="G383" s="1776">
        <f t="shared" si="130"/>
        <v>52192.376611199994</v>
      </c>
      <c r="H383" s="1776">
        <f t="shared" si="130"/>
        <v>23972.544000000002</v>
      </c>
      <c r="I383" s="1776">
        <f t="shared" si="130"/>
        <v>46399.802868000006</v>
      </c>
      <c r="J383" s="449">
        <f t="shared" si="130"/>
        <v>49382.527179999997</v>
      </c>
      <c r="K383" s="449">
        <f t="shared" si="130"/>
        <v>79551.492860000013</v>
      </c>
      <c r="L383" s="449">
        <f t="shared" si="130"/>
        <v>106360.61016</v>
      </c>
      <c r="M383" s="449">
        <f t="shared" si="130"/>
        <v>49381.307484999998</v>
      </c>
      <c r="N383" s="449">
        <f t="shared" si="130"/>
        <v>50891.719876410003</v>
      </c>
      <c r="O383" s="449">
        <f t="shared" si="130"/>
        <v>52595.942418460501</v>
      </c>
      <c r="P383" s="2649"/>
    </row>
    <row r="384" spans="1:16" ht="15" customHeight="1">
      <c r="A384" s="521" t="s">
        <v>278</v>
      </c>
      <c r="B384" s="1" t="s">
        <v>254</v>
      </c>
      <c r="C384" s="92" t="s">
        <v>11</v>
      </c>
      <c r="D384" s="438">
        <v>31261.3</v>
      </c>
      <c r="E384" s="438">
        <v>3870.7</v>
      </c>
      <c r="F384" s="438">
        <f>8265+5672+16686.3+640-2-2410</f>
        <v>28851.3</v>
      </c>
      <c r="G384" s="438">
        <f>153559.93*0.106*0.36/2</f>
        <v>2929.9234643999998</v>
      </c>
      <c r="H384" s="438">
        <v>2970.19</v>
      </c>
      <c r="I384" s="438">
        <f>H384+H384*1.01</f>
        <v>5970.0819000000001</v>
      </c>
      <c r="J384" s="438">
        <f>12139.97*0.47*0.85</f>
        <v>4849.9180149999993</v>
      </c>
      <c r="K384" s="438">
        <f>19381.92*0.47*0.85</f>
        <v>7743.0770399999992</v>
      </c>
      <c r="L384" s="438">
        <f>72895.23*0.1*0.85</f>
        <v>6196.0945499999998</v>
      </c>
      <c r="M384" s="416">
        <f>J384</f>
        <v>4849.9180149999993</v>
      </c>
      <c r="N384" s="416">
        <f>M384*1.03</f>
        <v>4995.4155554499994</v>
      </c>
      <c r="O384" s="416">
        <f>N384*1.03</f>
        <v>5145.2780221134999</v>
      </c>
      <c r="P384" s="423"/>
    </row>
    <row r="385" spans="1:16" ht="30">
      <c r="A385" s="521" t="s">
        <v>118</v>
      </c>
      <c r="B385" s="60" t="s">
        <v>256</v>
      </c>
      <c r="C385" s="92" t="s">
        <v>11</v>
      </c>
      <c r="D385" s="416"/>
      <c r="E385" s="416">
        <v>21926.545999999998</v>
      </c>
      <c r="F385" s="416"/>
      <c r="G385" s="438">
        <f>153559.93*0.584*0.36</f>
        <v>32284.439683199995</v>
      </c>
      <c r="H385" s="438">
        <f>12696.406</f>
        <v>12696.406000000001</v>
      </c>
      <c r="I385" s="438">
        <f t="shared" ref="I385:I388" si="131">H385+H385*1.01</f>
        <v>25519.776060000004</v>
      </c>
      <c r="J385" s="416">
        <f>86055.39*0.49*0.85</f>
        <v>35842.069935</v>
      </c>
      <c r="K385" s="416">
        <f>151334.87*0.49*0.85</f>
        <v>63030.973354999995</v>
      </c>
      <c r="L385" s="416">
        <f>219206*0.49*0.85</f>
        <v>91299.298999999999</v>
      </c>
      <c r="M385" s="416">
        <f>J385</f>
        <v>35842.069935</v>
      </c>
      <c r="N385" s="416">
        <f>M385*1.03</f>
        <v>36917.332033049999</v>
      </c>
      <c r="O385" s="416">
        <f>N385*1.03</f>
        <v>38024.851994041499</v>
      </c>
      <c r="P385" s="423"/>
    </row>
    <row r="386" spans="1:16">
      <c r="A386" s="521" t="s">
        <v>120</v>
      </c>
      <c r="B386" s="1" t="s">
        <v>257</v>
      </c>
      <c r="C386" s="92" t="s">
        <v>11</v>
      </c>
      <c r="D386" s="416">
        <v>2879.4</v>
      </c>
      <c r="E386" s="416">
        <f>5178.77-2400</f>
        <v>2778.7700000000004</v>
      </c>
      <c r="F386" s="416">
        <f>1621+1045+213.4</f>
        <v>2879.4</v>
      </c>
      <c r="G386" s="438">
        <f>153559.93*0.129*0.36</f>
        <v>7131.3231491999995</v>
      </c>
      <c r="H386" s="438">
        <f>2372.65</f>
        <v>2372.65</v>
      </c>
      <c r="I386" s="438">
        <f t="shared" si="131"/>
        <v>4769.0264999999999</v>
      </c>
      <c r="J386" s="416">
        <f>6761.25*0.47*0.85</f>
        <v>2701.1193749999998</v>
      </c>
      <c r="K386" s="416">
        <f>6828.86*0.47*0.85</f>
        <v>2728.1295699999996</v>
      </c>
      <c r="L386" s="416">
        <f>6897.15*0.47*0.85</f>
        <v>2755.4114249999993</v>
      </c>
      <c r="M386" s="416">
        <f>J386</f>
        <v>2701.1193749999998</v>
      </c>
      <c r="N386" s="416">
        <f t="shared" ref="N386:O387" si="132">M386*1.05</f>
        <v>2836.1753437499997</v>
      </c>
      <c r="O386" s="416">
        <f t="shared" si="132"/>
        <v>2977.9841109374997</v>
      </c>
      <c r="P386" s="423"/>
    </row>
    <row r="387" spans="1:16" ht="15.75" customHeight="1">
      <c r="A387" s="521" t="s">
        <v>122</v>
      </c>
      <c r="B387" s="1" t="s">
        <v>258</v>
      </c>
      <c r="C387" s="92" t="s">
        <v>11</v>
      </c>
      <c r="D387" s="416"/>
      <c r="E387" s="416">
        <v>2400</v>
      </c>
      <c r="F387" s="416">
        <v>2410</v>
      </c>
      <c r="G387" s="438">
        <f>153559.93*0.178*0.36</f>
        <v>9840.1203143999992</v>
      </c>
      <c r="H387" s="438">
        <f>5891.124</f>
        <v>5891.1239999999998</v>
      </c>
      <c r="I387" s="438">
        <f>H387+H387*1.01*0.7</f>
        <v>10056.148668</v>
      </c>
      <c r="J387" s="416">
        <f>14883.68*0.47*0.85</f>
        <v>5946.0301600000003</v>
      </c>
      <c r="K387" s="416">
        <f>15032.51*0.47*0.85</f>
        <v>6005.4877449999994</v>
      </c>
      <c r="L387" s="416">
        <f>15182.84*0.47*0.85</f>
        <v>6065.5445799999998</v>
      </c>
      <c r="M387" s="416">
        <f>J387</f>
        <v>5946.0301600000003</v>
      </c>
      <c r="N387" s="416">
        <f>M387*1.026</f>
        <v>6100.6269441600007</v>
      </c>
      <c r="O387" s="416">
        <f t="shared" si="132"/>
        <v>6405.6582913680013</v>
      </c>
      <c r="P387" s="423"/>
    </row>
    <row r="388" spans="1:16" ht="15.75" thickBot="1">
      <c r="A388" s="521" t="s">
        <v>124</v>
      </c>
      <c r="B388" s="1" t="s">
        <v>259</v>
      </c>
      <c r="C388" s="92" t="s">
        <v>11</v>
      </c>
      <c r="D388" s="416"/>
      <c r="E388" s="416">
        <v>6.57</v>
      </c>
      <c r="F388" s="416"/>
      <c r="G388" s="416">
        <v>6.57</v>
      </c>
      <c r="H388" s="416">
        <f>21.146+21.028</f>
        <v>42.173999999999999</v>
      </c>
      <c r="I388" s="438">
        <f t="shared" si="131"/>
        <v>84.769739999999999</v>
      </c>
      <c r="J388" s="416">
        <f>108.61*0.47*0.85</f>
        <v>43.389694999999996</v>
      </c>
      <c r="K388" s="416">
        <f>109.7*0.47*0.85</f>
        <v>43.825149999999994</v>
      </c>
      <c r="L388" s="416">
        <f>110.79*0.47*0.85</f>
        <v>44.260604999999998</v>
      </c>
      <c r="M388" s="416">
        <v>42.17</v>
      </c>
      <c r="N388" s="416">
        <v>42.17</v>
      </c>
      <c r="O388" s="416">
        <v>42.17</v>
      </c>
      <c r="P388" s="423"/>
    </row>
    <row r="389" spans="1:16" hidden="1">
      <c r="A389" s="1083" t="s">
        <v>130</v>
      </c>
      <c r="B389" s="72" t="s">
        <v>279</v>
      </c>
      <c r="C389" s="85"/>
      <c r="D389" s="426">
        <f t="shared" ref="D389:J389" si="133">SUM(D390:D394)</f>
        <v>0</v>
      </c>
      <c r="E389" s="426">
        <f t="shared" si="133"/>
        <v>0</v>
      </c>
      <c r="F389" s="426">
        <f t="shared" si="133"/>
        <v>0</v>
      </c>
      <c r="G389" s="426">
        <f t="shared" si="133"/>
        <v>0</v>
      </c>
      <c r="H389" s="426"/>
      <c r="I389" s="426"/>
      <c r="J389" s="426">
        <f t="shared" si="133"/>
        <v>0</v>
      </c>
      <c r="K389" s="426"/>
      <c r="L389" s="426"/>
      <c r="M389" s="426"/>
      <c r="N389" s="426"/>
      <c r="O389" s="426"/>
    </row>
    <row r="390" spans="1:16" hidden="1">
      <c r="A390" s="1084" t="s">
        <v>132</v>
      </c>
      <c r="B390" s="1" t="s">
        <v>254</v>
      </c>
      <c r="C390" s="92" t="s">
        <v>11</v>
      </c>
      <c r="D390" s="416">
        <v>0</v>
      </c>
      <c r="E390" s="416"/>
      <c r="F390" s="416">
        <v>0</v>
      </c>
      <c r="G390" s="416">
        <v>0</v>
      </c>
      <c r="H390" s="416">
        <v>0</v>
      </c>
      <c r="I390" s="416">
        <v>0</v>
      </c>
      <c r="J390" s="416">
        <v>0</v>
      </c>
      <c r="K390" s="416">
        <v>0</v>
      </c>
      <c r="L390" s="416">
        <v>0</v>
      </c>
      <c r="M390" s="1"/>
      <c r="N390" s="1"/>
      <c r="O390" s="1"/>
    </row>
    <row r="391" spans="1:16" ht="30" hidden="1">
      <c r="A391" s="1084" t="s">
        <v>134</v>
      </c>
      <c r="B391" s="60" t="s">
        <v>256</v>
      </c>
      <c r="C391" s="92" t="s">
        <v>11</v>
      </c>
      <c r="D391" s="416">
        <v>0</v>
      </c>
      <c r="E391" s="416"/>
      <c r="F391" s="416">
        <v>0</v>
      </c>
      <c r="G391" s="416">
        <v>0</v>
      </c>
      <c r="H391" s="416">
        <v>0</v>
      </c>
      <c r="I391" s="416">
        <v>0</v>
      </c>
      <c r="J391" s="416">
        <v>0</v>
      </c>
      <c r="K391" s="416">
        <v>0</v>
      </c>
      <c r="L391" s="416">
        <v>0</v>
      </c>
      <c r="M391" s="1"/>
      <c r="N391" s="1"/>
      <c r="O391" s="1"/>
    </row>
    <row r="392" spans="1:16" hidden="1">
      <c r="A392" s="1084" t="s">
        <v>135</v>
      </c>
      <c r="B392" s="1" t="s">
        <v>257</v>
      </c>
      <c r="C392" s="92" t="s">
        <v>11</v>
      </c>
      <c r="D392" s="416">
        <v>0</v>
      </c>
      <c r="E392" s="416"/>
      <c r="F392" s="416">
        <v>0</v>
      </c>
      <c r="G392" s="416">
        <v>0</v>
      </c>
      <c r="H392" s="416">
        <v>0</v>
      </c>
      <c r="I392" s="416">
        <v>0</v>
      </c>
      <c r="J392" s="416">
        <v>0</v>
      </c>
      <c r="K392" s="416">
        <v>0</v>
      </c>
      <c r="L392" s="416">
        <v>0</v>
      </c>
      <c r="M392" s="1"/>
      <c r="N392" s="1"/>
      <c r="O392" s="1"/>
    </row>
    <row r="393" spans="1:16" hidden="1">
      <c r="A393" s="1084" t="s">
        <v>138</v>
      </c>
      <c r="B393" s="1" t="s">
        <v>258</v>
      </c>
      <c r="C393" s="92" t="s">
        <v>11</v>
      </c>
      <c r="D393" s="416">
        <v>0</v>
      </c>
      <c r="E393" s="416"/>
      <c r="F393" s="416">
        <v>0</v>
      </c>
      <c r="G393" s="416">
        <v>0</v>
      </c>
      <c r="H393" s="416">
        <v>0</v>
      </c>
      <c r="I393" s="416">
        <v>0</v>
      </c>
      <c r="J393" s="416">
        <v>0</v>
      </c>
      <c r="K393" s="416">
        <v>0</v>
      </c>
      <c r="L393" s="416">
        <v>0</v>
      </c>
      <c r="M393" s="1"/>
      <c r="N393" s="1"/>
      <c r="O393" s="1"/>
    </row>
    <row r="394" spans="1:16" ht="15.75" hidden="1" thickBot="1">
      <c r="A394" s="1085" t="s">
        <v>139</v>
      </c>
      <c r="B394" s="27" t="s">
        <v>259</v>
      </c>
      <c r="C394" s="93" t="s">
        <v>11</v>
      </c>
      <c r="D394" s="427">
        <v>0</v>
      </c>
      <c r="E394" s="427"/>
      <c r="F394" s="427">
        <v>0</v>
      </c>
      <c r="G394" s="427">
        <v>0</v>
      </c>
      <c r="H394" s="427">
        <v>0</v>
      </c>
      <c r="I394" s="416">
        <v>0</v>
      </c>
      <c r="J394" s="427">
        <v>0</v>
      </c>
      <c r="K394" s="427">
        <v>0</v>
      </c>
      <c r="L394" s="427">
        <v>0</v>
      </c>
      <c r="M394" s="1"/>
      <c r="N394" s="1"/>
      <c r="O394" s="1"/>
    </row>
    <row r="395" spans="1:16" ht="15.75" thickBot="1">
      <c r="A395" s="102"/>
      <c r="B395" s="77" t="s">
        <v>157</v>
      </c>
      <c r="C395" s="77" t="s">
        <v>11</v>
      </c>
      <c r="D395" s="446">
        <f t="shared" ref="D395:O395" si="134">D383</f>
        <v>34140.699999999997</v>
      </c>
      <c r="E395" s="446">
        <f t="shared" si="134"/>
        <v>30982.585999999999</v>
      </c>
      <c r="F395" s="446">
        <f t="shared" si="134"/>
        <v>34140.699999999997</v>
      </c>
      <c r="G395" s="446">
        <f t="shared" si="134"/>
        <v>52192.376611199994</v>
      </c>
      <c r="H395" s="446">
        <f t="shared" si="134"/>
        <v>23972.544000000002</v>
      </c>
      <c r="I395" s="446">
        <f t="shared" si="134"/>
        <v>46399.802868000006</v>
      </c>
      <c r="J395" s="446">
        <f t="shared" si="134"/>
        <v>49382.527179999997</v>
      </c>
      <c r="K395" s="446">
        <f t="shared" si="134"/>
        <v>79551.492860000013</v>
      </c>
      <c r="L395" s="446">
        <f t="shared" si="134"/>
        <v>106360.61016</v>
      </c>
      <c r="M395" s="446">
        <f t="shared" si="134"/>
        <v>49381.307484999998</v>
      </c>
      <c r="N395" s="446">
        <f t="shared" si="134"/>
        <v>50891.719876410003</v>
      </c>
      <c r="O395" s="446">
        <f t="shared" si="134"/>
        <v>52595.942418460501</v>
      </c>
    </row>
    <row r="396" spans="1:16">
      <c r="A396" s="100"/>
      <c r="D396" s="1289"/>
      <c r="E396" s="423"/>
      <c r="G396" s="423"/>
      <c r="H396" s="423"/>
      <c r="I396" s="423"/>
    </row>
    <row r="397" spans="1:16">
      <c r="D397" s="423"/>
      <c r="E397" s="423"/>
      <c r="F397" s="423"/>
      <c r="G397" s="423"/>
      <c r="H397" s="423"/>
      <c r="I397" s="423"/>
      <c r="J397" s="423">
        <f>J395-28110</f>
        <v>21272.527179999997</v>
      </c>
    </row>
    <row r="398" spans="1:16" ht="19.5" thickBot="1">
      <c r="A398" s="360" t="s">
        <v>502</v>
      </c>
      <c r="J398" s="423"/>
    </row>
    <row r="399" spans="1:16" ht="15.75" thickBot="1">
      <c r="A399" s="3389" t="s">
        <v>0</v>
      </c>
      <c r="B399" s="3389" t="s">
        <v>1</v>
      </c>
      <c r="C399" s="3389" t="s">
        <v>2</v>
      </c>
      <c r="D399" s="3432" t="s">
        <v>165</v>
      </c>
      <c r="E399" s="3433"/>
      <c r="F399" s="3433"/>
      <c r="G399" s="3433"/>
      <c r="H399" s="3433"/>
      <c r="I399" s="3433"/>
      <c r="J399" s="3433"/>
      <c r="K399" s="1571"/>
      <c r="L399" s="1571"/>
    </row>
    <row r="400" spans="1:16" ht="15.75" customHeight="1" thickBot="1">
      <c r="A400" s="3401"/>
      <c r="B400" s="3401"/>
      <c r="C400" s="3401"/>
      <c r="D400" s="3455" t="s">
        <v>1103</v>
      </c>
      <c r="E400" s="3456"/>
      <c r="F400" s="3416">
        <v>2015</v>
      </c>
      <c r="G400" s="3417"/>
      <c r="H400" s="3389" t="s">
        <v>1375</v>
      </c>
      <c r="I400" s="3389" t="s">
        <v>1376</v>
      </c>
      <c r="J400" s="3436" t="s">
        <v>394</v>
      </c>
      <c r="K400" s="3436" t="s">
        <v>1154</v>
      </c>
      <c r="L400" s="3436" t="s">
        <v>1155</v>
      </c>
    </row>
    <row r="401" spans="1:12" ht="30.75" customHeight="1" thickBot="1">
      <c r="A401" s="3390"/>
      <c r="B401" s="3390"/>
      <c r="C401" s="3390"/>
      <c r="D401" s="1574" t="s">
        <v>5</v>
      </c>
      <c r="E401" s="476" t="s">
        <v>6</v>
      </c>
      <c r="F401" s="476" t="s">
        <v>7</v>
      </c>
      <c r="G401" s="476" t="s">
        <v>8</v>
      </c>
      <c r="H401" s="3390"/>
      <c r="I401" s="3390"/>
      <c r="J401" s="3437"/>
      <c r="K401" s="3437"/>
      <c r="L401" s="3437"/>
    </row>
    <row r="402" spans="1:12">
      <c r="A402" s="3">
        <v>1</v>
      </c>
      <c r="B402" s="3">
        <v>2</v>
      </c>
      <c r="C402" s="3">
        <v>3</v>
      </c>
      <c r="D402" s="3">
        <v>4</v>
      </c>
      <c r="E402" s="3">
        <v>5</v>
      </c>
      <c r="F402" s="3">
        <v>6</v>
      </c>
      <c r="G402" s="3">
        <v>7</v>
      </c>
      <c r="H402" s="3"/>
      <c r="I402" s="3"/>
      <c r="J402" s="3">
        <v>8</v>
      </c>
      <c r="K402" s="26">
        <v>9</v>
      </c>
      <c r="L402" s="26">
        <v>10</v>
      </c>
    </row>
    <row r="403" spans="1:12">
      <c r="A403" s="1586">
        <v>1</v>
      </c>
      <c r="B403" s="125" t="s">
        <v>109</v>
      </c>
      <c r="C403" s="156" t="s">
        <v>11</v>
      </c>
      <c r="D403" s="46">
        <f>SUM(D404:D409)</f>
        <v>1067.29</v>
      </c>
      <c r="E403" s="46">
        <f t="shared" ref="E403" si="135">SUM(E404:E409)</f>
        <v>0</v>
      </c>
      <c r="F403" s="46"/>
      <c r="G403" s="46"/>
      <c r="H403" s="46"/>
      <c r="I403" s="46"/>
      <c r="J403" s="46"/>
      <c r="K403" s="39"/>
      <c r="L403" s="39"/>
    </row>
    <row r="404" spans="1:12" ht="25.5">
      <c r="A404" s="521" t="s">
        <v>10</v>
      </c>
      <c r="B404" s="10" t="s">
        <v>1069</v>
      </c>
      <c r="C404" s="26" t="s">
        <v>11</v>
      </c>
      <c r="D404" s="1">
        <v>1067.29</v>
      </c>
      <c r="E404" s="1">
        <v>0</v>
      </c>
      <c r="F404" s="1">
        <v>0</v>
      </c>
      <c r="G404" s="1">
        <v>0</v>
      </c>
      <c r="H404" s="1"/>
      <c r="I404" s="1"/>
      <c r="J404" s="1">
        <v>0</v>
      </c>
      <c r="K404" s="1"/>
      <c r="L404" s="1"/>
    </row>
    <row r="405" spans="1:12" hidden="1">
      <c r="A405" s="521" t="s">
        <v>18</v>
      </c>
      <c r="B405" s="10"/>
      <c r="C405" s="26" t="s">
        <v>11</v>
      </c>
      <c r="D405" s="1"/>
      <c r="E405" s="1"/>
      <c r="F405" s="1"/>
      <c r="G405" s="1"/>
      <c r="H405" s="1"/>
      <c r="I405" s="1"/>
      <c r="J405" s="1"/>
      <c r="K405" s="1"/>
      <c r="L405" s="1"/>
    </row>
    <row r="406" spans="1:12" hidden="1">
      <c r="A406" s="521" t="s">
        <v>30</v>
      </c>
      <c r="B406" s="10"/>
      <c r="C406" s="26" t="s">
        <v>11</v>
      </c>
      <c r="D406" s="1"/>
      <c r="E406" s="1"/>
      <c r="F406" s="1"/>
      <c r="G406" s="1"/>
      <c r="H406" s="1"/>
      <c r="I406" s="1"/>
      <c r="J406" s="1"/>
      <c r="K406" s="1"/>
      <c r="L406" s="1"/>
    </row>
    <row r="407" spans="1:12" hidden="1">
      <c r="A407" s="521" t="s">
        <v>255</v>
      </c>
      <c r="B407" s="10"/>
      <c r="C407" s="26" t="s">
        <v>11</v>
      </c>
      <c r="D407" s="1"/>
      <c r="E407" s="1"/>
      <c r="F407" s="1"/>
      <c r="G407" s="1"/>
      <c r="H407" s="1"/>
      <c r="I407" s="1"/>
      <c r="J407" s="1"/>
      <c r="K407" s="1"/>
      <c r="L407" s="1"/>
    </row>
    <row r="408" spans="1:12" hidden="1">
      <c r="A408" s="521" t="s">
        <v>40</v>
      </c>
      <c r="B408" s="10"/>
      <c r="C408" s="26" t="s">
        <v>11</v>
      </c>
      <c r="D408" s="1"/>
      <c r="E408" s="1"/>
      <c r="F408" s="1"/>
      <c r="G408" s="1"/>
      <c r="H408" s="1"/>
      <c r="I408" s="1"/>
      <c r="J408" s="1"/>
      <c r="K408" s="1"/>
      <c r="L408" s="1"/>
    </row>
    <row r="409" spans="1:12" hidden="1">
      <c r="A409" s="521" t="s">
        <v>41</v>
      </c>
      <c r="B409" s="10"/>
      <c r="C409" s="26" t="s">
        <v>11</v>
      </c>
      <c r="D409" s="1"/>
      <c r="E409" s="1"/>
      <c r="F409" s="1"/>
      <c r="G409" s="1"/>
      <c r="H409" s="1"/>
      <c r="I409" s="1"/>
      <c r="J409" s="1"/>
      <c r="K409" s="1"/>
      <c r="L409" s="1"/>
    </row>
    <row r="410" spans="1:12">
      <c r="A410" s="536" t="s">
        <v>50</v>
      </c>
      <c r="B410" s="126" t="s">
        <v>111</v>
      </c>
      <c r="C410" s="156" t="s">
        <v>11</v>
      </c>
      <c r="D410" s="39">
        <f>SUM(D411:D413)</f>
        <v>0</v>
      </c>
      <c r="E410" s="39">
        <f t="shared" ref="E410" si="136">SUM(E411:E413)</f>
        <v>0</v>
      </c>
      <c r="F410" s="39"/>
      <c r="G410" s="39"/>
      <c r="H410" s="39"/>
      <c r="I410" s="39"/>
      <c r="J410" s="39"/>
      <c r="K410" s="39"/>
      <c r="L410" s="39"/>
    </row>
    <row r="411" spans="1:12">
      <c r="A411" s="1086" t="s">
        <v>52</v>
      </c>
      <c r="B411" s="162"/>
      <c r="C411" s="26" t="s">
        <v>11</v>
      </c>
      <c r="D411" s="108">
        <v>0</v>
      </c>
      <c r="E411" s="108">
        <v>0</v>
      </c>
      <c r="F411" s="108">
        <v>0</v>
      </c>
      <c r="G411" s="108">
        <v>0</v>
      </c>
      <c r="H411" s="108"/>
      <c r="I411" s="108"/>
      <c r="J411" s="108">
        <v>0</v>
      </c>
      <c r="K411" s="108"/>
      <c r="L411" s="108"/>
    </row>
    <row r="412" spans="1:12" hidden="1">
      <c r="A412" s="1086" t="s">
        <v>54</v>
      </c>
      <c r="B412" s="162"/>
      <c r="C412" s="26" t="s">
        <v>11</v>
      </c>
      <c r="D412" s="108"/>
      <c r="E412" s="108"/>
      <c r="F412" s="108"/>
      <c r="G412" s="108"/>
      <c r="H412" s="108"/>
      <c r="I412" s="108"/>
      <c r="J412" s="108"/>
      <c r="K412" s="108"/>
      <c r="L412" s="108"/>
    </row>
    <row r="413" spans="1:12" hidden="1">
      <c r="A413" s="1086" t="s">
        <v>56</v>
      </c>
      <c r="B413" s="162"/>
      <c r="C413" s="26" t="s">
        <v>11</v>
      </c>
      <c r="D413" s="108"/>
      <c r="E413" s="108"/>
      <c r="F413" s="108"/>
      <c r="G413" s="108"/>
      <c r="H413" s="108"/>
      <c r="I413" s="108"/>
      <c r="J413" s="108"/>
      <c r="K413" s="108"/>
      <c r="L413" s="108"/>
    </row>
    <row r="414" spans="1:12">
      <c r="A414" s="536" t="s">
        <v>62</v>
      </c>
      <c r="B414" s="126" t="s">
        <v>113</v>
      </c>
      <c r="C414" s="156" t="s">
        <v>11</v>
      </c>
      <c r="D414" s="39">
        <f>SUM(D415:D418)</f>
        <v>0</v>
      </c>
      <c r="E414" s="39">
        <f>SUM(E415:E418)</f>
        <v>0</v>
      </c>
      <c r="F414" s="39"/>
      <c r="G414" s="39"/>
      <c r="H414" s="39"/>
      <c r="I414" s="39"/>
      <c r="J414" s="39"/>
      <c r="K414" s="39"/>
      <c r="L414" s="39"/>
    </row>
    <row r="415" spans="1:12">
      <c r="A415" s="1087" t="s">
        <v>64</v>
      </c>
      <c r="B415" s="160"/>
      <c r="C415" s="26" t="s">
        <v>11</v>
      </c>
      <c r="D415" s="108">
        <v>0</v>
      </c>
      <c r="E415" s="108">
        <v>0</v>
      </c>
      <c r="F415" s="108">
        <v>0</v>
      </c>
      <c r="G415" s="108">
        <v>0</v>
      </c>
      <c r="H415" s="108"/>
      <c r="I415" s="108"/>
      <c r="J415" s="108">
        <v>0</v>
      </c>
      <c r="K415" s="108"/>
      <c r="L415" s="108"/>
    </row>
    <row r="416" spans="1:12" hidden="1">
      <c r="A416" s="1087" t="s">
        <v>80</v>
      </c>
      <c r="B416" s="160"/>
      <c r="C416" s="26" t="s">
        <v>11</v>
      </c>
      <c r="D416" s="108"/>
      <c r="E416" s="108"/>
      <c r="F416" s="108"/>
      <c r="G416" s="108"/>
      <c r="H416" s="108"/>
      <c r="I416" s="108"/>
      <c r="J416" s="108"/>
      <c r="K416" s="108"/>
      <c r="L416" s="108"/>
    </row>
    <row r="417" spans="1:15" hidden="1">
      <c r="A417" s="1087" t="s">
        <v>86</v>
      </c>
      <c r="B417" s="160"/>
      <c r="C417" s="26" t="s">
        <v>11</v>
      </c>
      <c r="D417" s="108"/>
      <c r="E417" s="108"/>
      <c r="F417" s="108"/>
      <c r="G417" s="108"/>
      <c r="H417" s="108"/>
      <c r="I417" s="108"/>
      <c r="J417" s="108"/>
      <c r="K417" s="108"/>
      <c r="L417" s="108"/>
    </row>
    <row r="418" spans="1:15" hidden="1">
      <c r="A418" s="1087" t="s">
        <v>88</v>
      </c>
      <c r="B418" s="160"/>
      <c r="C418" s="26" t="s">
        <v>11</v>
      </c>
      <c r="D418" s="108"/>
      <c r="E418" s="108"/>
      <c r="F418" s="108"/>
      <c r="G418" s="108"/>
      <c r="H418" s="108"/>
      <c r="I418" s="108"/>
      <c r="J418" s="108"/>
      <c r="K418" s="108"/>
      <c r="L418" s="108"/>
    </row>
    <row r="419" spans="1:15">
      <c r="A419" s="1088" t="s">
        <v>99</v>
      </c>
      <c r="B419" s="158" t="s">
        <v>115</v>
      </c>
      <c r="C419" s="159" t="s">
        <v>11</v>
      </c>
      <c r="D419" s="39">
        <f>SUM(D420:D420)</f>
        <v>0</v>
      </c>
      <c r="E419" s="39">
        <f>SUM(E420:E420)</f>
        <v>0</v>
      </c>
      <c r="F419" s="39"/>
      <c r="G419" s="39"/>
      <c r="H419" s="39"/>
      <c r="I419" s="39"/>
      <c r="J419" s="39"/>
      <c r="K419" s="39"/>
      <c r="L419" s="39"/>
    </row>
    <row r="420" spans="1:15" ht="15.75" thickBot="1">
      <c r="A420" s="1085" t="s">
        <v>101</v>
      </c>
      <c r="B420" s="27"/>
      <c r="C420" s="93" t="s">
        <v>11</v>
      </c>
      <c r="D420" s="27">
        <v>0</v>
      </c>
      <c r="E420" s="27">
        <v>0</v>
      </c>
      <c r="F420" s="27">
        <v>0</v>
      </c>
      <c r="G420" s="27">
        <v>0</v>
      </c>
      <c r="H420" s="27"/>
      <c r="I420" s="27"/>
      <c r="J420" s="27">
        <v>0</v>
      </c>
      <c r="K420" s="27"/>
      <c r="L420" s="27"/>
    </row>
    <row r="421" spans="1:15" ht="15.75" thickBot="1">
      <c r="A421" s="78"/>
      <c r="B421" s="77" t="s">
        <v>157</v>
      </c>
      <c r="C421" s="77"/>
      <c r="D421" s="77">
        <f>D403+D410+D414+D419</f>
        <v>1067.29</v>
      </c>
      <c r="E421" s="77">
        <f>E403+E410+E414+E419</f>
        <v>0</v>
      </c>
      <c r="F421" s="77"/>
      <c r="G421" s="77"/>
      <c r="H421" s="77"/>
      <c r="I421" s="77"/>
      <c r="J421" s="77"/>
      <c r="K421" s="1486"/>
      <c r="L421" s="1486"/>
    </row>
    <row r="423" spans="1:15">
      <c r="J423">
        <f>J430/G430</f>
        <v>1.2653617021276595</v>
      </c>
    </row>
    <row r="424" spans="1:15" ht="19.5" thickBot="1">
      <c r="A424" s="360" t="s">
        <v>503</v>
      </c>
      <c r="J424" s="347">
        <v>1.046</v>
      </c>
    </row>
    <row r="425" spans="1:15" ht="15.75" thickBot="1">
      <c r="A425" s="3389" t="s">
        <v>0</v>
      </c>
      <c r="B425" s="3389" t="s">
        <v>1</v>
      </c>
      <c r="C425" s="3389" t="s">
        <v>2</v>
      </c>
      <c r="D425" s="3466" t="s">
        <v>165</v>
      </c>
      <c r="E425" s="3467"/>
      <c r="F425" s="3467"/>
      <c r="G425" s="3467"/>
      <c r="H425" s="3467"/>
      <c r="I425" s="3467"/>
      <c r="J425" s="3467"/>
      <c r="K425" s="1576"/>
      <c r="L425" s="1576"/>
      <c r="M425" s="3432" t="s">
        <v>1460</v>
      </c>
      <c r="N425" s="3433"/>
      <c r="O425" s="3434"/>
    </row>
    <row r="426" spans="1:15" ht="15.75" customHeight="1" thickBot="1">
      <c r="A426" s="3401"/>
      <c r="B426" s="3401"/>
      <c r="C426" s="3401"/>
      <c r="D426" s="3468" t="s">
        <v>1103</v>
      </c>
      <c r="E426" s="3461"/>
      <c r="F426" s="3462">
        <v>2015</v>
      </c>
      <c r="G426" s="3463"/>
      <c r="H426" s="3389" t="s">
        <v>1375</v>
      </c>
      <c r="I426" s="3389" t="s">
        <v>1376</v>
      </c>
      <c r="J426" s="3420" t="s">
        <v>394</v>
      </c>
      <c r="K426" s="3420" t="s">
        <v>1154</v>
      </c>
      <c r="L426" s="3420" t="s">
        <v>1155</v>
      </c>
      <c r="M426" s="3454" t="s">
        <v>1151</v>
      </c>
      <c r="N426" s="3454" t="s">
        <v>1672</v>
      </c>
      <c r="O426" s="3454" t="s">
        <v>1673</v>
      </c>
    </row>
    <row r="427" spans="1:15" ht="31.5" customHeight="1" thickBot="1">
      <c r="A427" s="3390"/>
      <c r="B427" s="3390"/>
      <c r="C427" s="3390"/>
      <c r="D427" s="1577" t="s">
        <v>5</v>
      </c>
      <c r="E427" s="1490" t="s">
        <v>6</v>
      </c>
      <c r="F427" s="1490" t="s">
        <v>7</v>
      </c>
      <c r="G427" s="1490" t="s">
        <v>8</v>
      </c>
      <c r="H427" s="3390"/>
      <c r="I427" s="3390"/>
      <c r="J427" s="3421"/>
      <c r="K427" s="3421"/>
      <c r="L427" s="3421"/>
      <c r="M427" s="3454"/>
      <c r="N427" s="3454"/>
      <c r="O427" s="3454"/>
    </row>
    <row r="428" spans="1:15">
      <c r="A428" s="534">
        <v>1</v>
      </c>
      <c r="B428" s="3">
        <v>2</v>
      </c>
      <c r="C428" s="3">
        <v>3</v>
      </c>
      <c r="D428" s="3">
        <v>4</v>
      </c>
      <c r="E428" s="3">
        <v>5</v>
      </c>
      <c r="F428" s="3">
        <v>6</v>
      </c>
      <c r="G428" s="3">
        <v>7</v>
      </c>
      <c r="H428" s="3"/>
      <c r="I428" s="3"/>
      <c r="J428" s="3">
        <v>8</v>
      </c>
      <c r="K428" s="26">
        <v>9</v>
      </c>
      <c r="L428" s="2622">
        <v>10</v>
      </c>
      <c r="M428" s="2674">
        <v>13</v>
      </c>
      <c r="N428" s="2287"/>
      <c r="O428" s="2289"/>
    </row>
    <row r="429" spans="1:15">
      <c r="A429" s="1090"/>
      <c r="B429" s="224"/>
      <c r="C429" s="225"/>
      <c r="D429" s="74"/>
      <c r="E429" s="74"/>
      <c r="F429" s="74"/>
      <c r="G429" s="74"/>
      <c r="H429" s="74"/>
      <c r="I429" s="74"/>
      <c r="J429" s="74"/>
      <c r="K429" s="1488"/>
      <c r="L429" s="2543"/>
      <c r="M429" s="1036"/>
      <c r="N429" s="1"/>
      <c r="O429" s="998"/>
    </row>
    <row r="430" spans="1:15" ht="24" customHeight="1">
      <c r="A430" s="536" t="s">
        <v>10</v>
      </c>
      <c r="B430" s="181" t="s">
        <v>119</v>
      </c>
      <c r="C430" s="85" t="s">
        <v>11</v>
      </c>
      <c r="D430" s="459">
        <v>10000</v>
      </c>
      <c r="E430" s="459">
        <f>налоги!C95</f>
        <v>10393.487879999999</v>
      </c>
      <c r="F430" s="459">
        <v>12436</v>
      </c>
      <c r="G430" s="459">
        <f>налоги!D95</f>
        <v>10913.162274</v>
      </c>
      <c r="H430" s="459">
        <f>налоги!H95</f>
        <v>6305.6802239999997</v>
      </c>
      <c r="I430" s="459">
        <f>налоги!I95</f>
        <v>12611.360447999999</v>
      </c>
      <c r="J430" s="459">
        <f>налоги!J95</f>
        <v>13809.097590624</v>
      </c>
      <c r="K430" s="459">
        <f>налоги!K95</f>
        <v>14499.552470155202</v>
      </c>
      <c r="L430" s="2666">
        <f>налоги!L95</f>
        <v>15224.530093662963</v>
      </c>
      <c r="M430" s="2675">
        <f>G430</f>
        <v>10913.162274</v>
      </c>
      <c r="N430" s="2675">
        <v>11299.55</v>
      </c>
      <c r="O430" s="2675">
        <v>13224.53</v>
      </c>
    </row>
    <row r="431" spans="1:15" ht="25.5">
      <c r="A431" s="536" t="s">
        <v>18</v>
      </c>
      <c r="B431" s="181" t="s">
        <v>121</v>
      </c>
      <c r="C431" s="85" t="s">
        <v>11</v>
      </c>
      <c r="D431" s="459">
        <v>2100</v>
      </c>
      <c r="E431" s="459"/>
      <c r="F431" s="459">
        <v>0</v>
      </c>
      <c r="G431" s="459">
        <v>0</v>
      </c>
      <c r="H431" s="459">
        <v>0</v>
      </c>
      <c r="I431" s="459">
        <v>0</v>
      </c>
      <c r="J431" s="459">
        <f>G431*1.01</f>
        <v>0</v>
      </c>
      <c r="K431" s="459">
        <v>0</v>
      </c>
      <c r="L431" s="2666">
        <v>0</v>
      </c>
      <c r="M431" s="2675">
        <v>0</v>
      </c>
      <c r="N431" s="2675">
        <v>1</v>
      </c>
      <c r="O431" s="2675">
        <v>2</v>
      </c>
    </row>
    <row r="432" spans="1:15" ht="25.5">
      <c r="A432" s="536"/>
      <c r="B432" s="181" t="s">
        <v>123</v>
      </c>
      <c r="C432" s="85"/>
      <c r="D432" s="459"/>
      <c r="E432" s="459">
        <f>налоги!C99</f>
        <v>1611.64</v>
      </c>
      <c r="F432" s="459"/>
      <c r="G432" s="459">
        <f>налоги!D99</f>
        <v>1627.7564000000002</v>
      </c>
      <c r="H432" s="459">
        <f>налоги!H99</f>
        <v>969.375</v>
      </c>
      <c r="I432" s="459">
        <f>налоги!I99</f>
        <v>1938.75</v>
      </c>
      <c r="J432" s="459">
        <f>налоги!J99</f>
        <v>1958.1375</v>
      </c>
      <c r="K432" s="459">
        <f>налоги!K99</f>
        <v>1977.718875</v>
      </c>
      <c r="L432" s="2666">
        <f>налоги!L99</f>
        <v>1997.4960637500001</v>
      </c>
      <c r="M432" s="2675">
        <f t="shared" ref="M432:O434" si="137">J432</f>
        <v>1958.1375</v>
      </c>
      <c r="N432" s="2675">
        <f t="shared" si="137"/>
        <v>1977.718875</v>
      </c>
      <c r="O432" s="2675">
        <f t="shared" si="137"/>
        <v>1997.4960637500001</v>
      </c>
    </row>
    <row r="433" spans="1:15" ht="25.5">
      <c r="A433" s="536" t="s">
        <v>30</v>
      </c>
      <c r="B433" s="181" t="s">
        <v>123</v>
      </c>
      <c r="C433" s="85" t="s">
        <v>11</v>
      </c>
      <c r="D433" s="459">
        <v>2300</v>
      </c>
      <c r="E433" s="459">
        <f>налоги!C100</f>
        <v>4801.6000000000004</v>
      </c>
      <c r="F433" s="459">
        <v>4281.99</v>
      </c>
      <c r="G433" s="459">
        <f>налоги!D73</f>
        <v>5866.23</v>
      </c>
      <c r="H433" s="459">
        <f>H434</f>
        <v>3218.69</v>
      </c>
      <c r="I433" s="459">
        <f t="shared" ref="I433:L433" si="138">I434</f>
        <v>6437.38</v>
      </c>
      <c r="J433" s="459">
        <f t="shared" si="138"/>
        <v>6733.4525000000003</v>
      </c>
      <c r="K433" s="459">
        <f t="shared" si="138"/>
        <v>7823</v>
      </c>
      <c r="L433" s="2666">
        <f t="shared" si="138"/>
        <v>9047.7999999999993</v>
      </c>
      <c r="M433" s="2675">
        <f t="shared" si="137"/>
        <v>6733.4525000000003</v>
      </c>
      <c r="N433" s="2675">
        <f t="shared" si="137"/>
        <v>7823</v>
      </c>
      <c r="O433" s="2675">
        <f t="shared" si="137"/>
        <v>9047.7999999999993</v>
      </c>
    </row>
    <row r="434" spans="1:15">
      <c r="A434" s="521" t="s">
        <v>396</v>
      </c>
      <c r="B434" s="23" t="s">
        <v>384</v>
      </c>
      <c r="C434" s="2" t="s">
        <v>11</v>
      </c>
      <c r="D434" s="438">
        <f>D433-D435</f>
        <v>2282.9899999999998</v>
      </c>
      <c r="E434" s="438">
        <f>налоги!C101</f>
        <v>4725.1000000000004</v>
      </c>
      <c r="F434" s="438">
        <v>4281.99</v>
      </c>
      <c r="G434" s="438">
        <f>налоги!D74</f>
        <v>5866.23</v>
      </c>
      <c r="H434" s="438">
        <f>налоги!H101</f>
        <v>3218.69</v>
      </c>
      <c r="I434" s="438">
        <f>налоги!I101</f>
        <v>6437.38</v>
      </c>
      <c r="J434" s="438">
        <f>налоги!J101</f>
        <v>6733.4525000000003</v>
      </c>
      <c r="K434" s="438">
        <f>налоги!K101</f>
        <v>7823</v>
      </c>
      <c r="L434" s="2673">
        <f>налоги!L101</f>
        <v>9047.7999999999993</v>
      </c>
      <c r="M434" s="2671">
        <f t="shared" si="137"/>
        <v>6733.4525000000003</v>
      </c>
      <c r="N434" s="2671">
        <f t="shared" si="137"/>
        <v>7823</v>
      </c>
      <c r="O434" s="2671">
        <f t="shared" si="137"/>
        <v>9047.7999999999993</v>
      </c>
    </row>
    <row r="435" spans="1:15">
      <c r="A435" s="521" t="s">
        <v>397</v>
      </c>
      <c r="B435" s="23" t="s">
        <v>385</v>
      </c>
      <c r="C435" s="2" t="s">
        <v>11</v>
      </c>
      <c r="D435" s="438">
        <v>17.010000000000002</v>
      </c>
      <c r="E435" s="438">
        <f>налоги!C102</f>
        <v>76.5</v>
      </c>
      <c r="F435" s="438">
        <v>0</v>
      </c>
      <c r="G435" s="438">
        <v>17.010000000000002</v>
      </c>
      <c r="H435" s="438">
        <v>0</v>
      </c>
      <c r="I435" s="438">
        <v>0</v>
      </c>
      <c r="J435" s="438">
        <v>0</v>
      </c>
      <c r="K435" s="438">
        <v>0</v>
      </c>
      <c r="L435" s="2673">
        <v>0</v>
      </c>
      <c r="M435" s="2671">
        <v>0</v>
      </c>
      <c r="N435" s="2671">
        <v>1</v>
      </c>
      <c r="O435" s="2671">
        <v>2</v>
      </c>
    </row>
    <row r="436" spans="1:15">
      <c r="A436" s="536" t="s">
        <v>255</v>
      </c>
      <c r="B436" s="181" t="s">
        <v>629</v>
      </c>
      <c r="C436" s="85" t="s">
        <v>11</v>
      </c>
      <c r="D436" s="459">
        <v>2700</v>
      </c>
      <c r="E436" s="459">
        <f>налоги!C103</f>
        <v>5723.7197999999989</v>
      </c>
      <c r="F436" s="459">
        <v>702</v>
      </c>
      <c r="G436" s="459">
        <f>налоги!D103</f>
        <v>5723.7197999999989</v>
      </c>
      <c r="H436" s="459">
        <f>налоги!H103</f>
        <v>4534.6550399999996</v>
      </c>
      <c r="I436" s="459">
        <f>налоги!I103</f>
        <v>9069.3100799999993</v>
      </c>
      <c r="J436" s="459">
        <f>налоги!J103</f>
        <v>9160.0031807999985</v>
      </c>
      <c r="K436" s="459">
        <f>налоги!K103</f>
        <v>9251.603212607999</v>
      </c>
      <c r="L436" s="2666">
        <f>налоги!L103</f>
        <v>9344.11924473408</v>
      </c>
      <c r="M436" s="2675">
        <f>E436</f>
        <v>5723.7197999999989</v>
      </c>
      <c r="N436" s="2675">
        <v>6251.6</v>
      </c>
      <c r="O436" s="2675">
        <v>8344.1200000000008</v>
      </c>
    </row>
    <row r="437" spans="1:15" ht="15.75" thickBot="1">
      <c r="A437" s="521" t="s">
        <v>398</v>
      </c>
      <c r="B437" s="181" t="s">
        <v>127</v>
      </c>
      <c r="C437" s="2" t="s">
        <v>11</v>
      </c>
      <c r="D437" s="438">
        <f>490*0.96*0.6+0.2</f>
        <v>282.43999999999994</v>
      </c>
      <c r="E437" s="1545">
        <f>налоги!C104</f>
        <v>389.98999999999995</v>
      </c>
      <c r="F437" s="438">
        <v>309</v>
      </c>
      <c r="G437" s="438">
        <f>налоги!D104</f>
        <v>409.48950000000002</v>
      </c>
      <c r="H437" s="438">
        <f>налоги!H104</f>
        <v>224.46828479999999</v>
      </c>
      <c r="I437" s="438">
        <f>налоги!I104</f>
        <v>448.93656959999998</v>
      </c>
      <c r="J437" s="438">
        <f>налоги!J104</f>
        <v>453.42593529599998</v>
      </c>
      <c r="K437" s="438">
        <f>налоги!K104</f>
        <v>457.96019464896</v>
      </c>
      <c r="L437" s="2673">
        <f>налоги!L104</f>
        <v>462.53979659544956</v>
      </c>
      <c r="M437" s="2671">
        <f t="shared" ref="M437:O437" si="139">J437</f>
        <v>453.42593529599998</v>
      </c>
      <c r="N437" s="2671">
        <f t="shared" si="139"/>
        <v>457.96019464896</v>
      </c>
      <c r="O437" s="2671">
        <f t="shared" si="139"/>
        <v>462.53979659544956</v>
      </c>
    </row>
    <row r="438" spans="1:15" hidden="1">
      <c r="A438" s="521" t="s">
        <v>399</v>
      </c>
      <c r="B438" s="23"/>
      <c r="C438" s="2" t="s">
        <v>11</v>
      </c>
      <c r="D438" s="438"/>
      <c r="E438" s="508"/>
      <c r="F438" s="438"/>
      <c r="G438" s="438"/>
      <c r="H438" s="438"/>
      <c r="I438" s="438"/>
      <c r="J438" s="438"/>
      <c r="K438" s="1489"/>
      <c r="L438" s="1489"/>
      <c r="M438" s="2671"/>
      <c r="N438" s="2671"/>
      <c r="O438" s="2671"/>
    </row>
    <row r="439" spans="1:15" hidden="1">
      <c r="A439" s="521" t="s">
        <v>400</v>
      </c>
      <c r="B439" s="23"/>
      <c r="C439" s="2" t="s">
        <v>11</v>
      </c>
      <c r="D439" s="438"/>
      <c r="E439" s="508"/>
      <c r="F439" s="438"/>
      <c r="G439" s="438"/>
      <c r="H439" s="438"/>
      <c r="I439" s="438"/>
      <c r="J439" s="438"/>
      <c r="K439" s="1489"/>
      <c r="L439" s="1489"/>
      <c r="M439" s="2671"/>
      <c r="N439" s="2671"/>
      <c r="O439" s="2671"/>
    </row>
    <row r="440" spans="1:15" hidden="1">
      <c r="A440" s="521" t="s">
        <v>401</v>
      </c>
      <c r="B440" s="23"/>
      <c r="C440" s="2" t="s">
        <v>11</v>
      </c>
      <c r="D440" s="438"/>
      <c r="E440" s="508"/>
      <c r="F440" s="438"/>
      <c r="G440" s="438"/>
      <c r="H440" s="438"/>
      <c r="I440" s="438"/>
      <c r="J440" s="438"/>
      <c r="K440" s="1489"/>
      <c r="L440" s="1489"/>
      <c r="M440" s="2671"/>
      <c r="N440" s="2671"/>
      <c r="O440" s="2671"/>
    </row>
    <row r="441" spans="1:15" ht="69.75" hidden="1" customHeight="1" thickBot="1">
      <c r="A441" s="536" t="s">
        <v>42</v>
      </c>
      <c r="B441" s="181" t="s">
        <v>129</v>
      </c>
      <c r="C441" s="85" t="s">
        <v>11</v>
      </c>
      <c r="D441" s="449">
        <f t="shared" ref="D441" si="140">SUM(D442:D445)</f>
        <v>0</v>
      </c>
      <c r="E441" s="449">
        <f t="shared" ref="E441:J441" si="141">SUM(E442:E445)</f>
        <v>0</v>
      </c>
      <c r="F441" s="449">
        <f t="shared" si="141"/>
        <v>0</v>
      </c>
      <c r="G441" s="449">
        <f t="shared" si="141"/>
        <v>0</v>
      </c>
      <c r="H441" s="449"/>
      <c r="I441" s="449"/>
      <c r="J441" s="449">
        <f t="shared" si="141"/>
        <v>0</v>
      </c>
      <c r="K441" s="449"/>
      <c r="L441" s="2668"/>
      <c r="M441" s="2676"/>
      <c r="N441" s="2676"/>
      <c r="O441" s="2676"/>
    </row>
    <row r="442" spans="1:15" ht="15.75" hidden="1" thickBot="1">
      <c r="A442" s="537" t="s">
        <v>44</v>
      </c>
      <c r="B442" s="60"/>
      <c r="C442" s="60"/>
      <c r="D442" s="438"/>
      <c r="E442" s="438"/>
      <c r="F442" s="438"/>
      <c r="G442" s="438"/>
      <c r="H442" s="438"/>
      <c r="I442" s="438"/>
      <c r="J442" s="438"/>
      <c r="K442" s="1489"/>
      <c r="L442" s="1489"/>
      <c r="M442" s="2670"/>
      <c r="N442" s="2670"/>
      <c r="O442" s="2670"/>
    </row>
    <row r="443" spans="1:15" ht="15.75" hidden="1" thickBot="1">
      <c r="A443" s="538" t="s">
        <v>45</v>
      </c>
      <c r="B443" s="1"/>
      <c r="C443" s="1"/>
      <c r="D443" s="416"/>
      <c r="E443" s="416"/>
      <c r="F443" s="416"/>
      <c r="G443" s="416"/>
      <c r="H443" s="416"/>
      <c r="I443" s="416"/>
      <c r="J443" s="416"/>
      <c r="K443" s="1485"/>
      <c r="L443" s="1485"/>
      <c r="M443" s="2670"/>
      <c r="N443" s="2670"/>
      <c r="O443" s="2670"/>
    </row>
    <row r="444" spans="1:15" ht="15.75" hidden="1" thickBot="1">
      <c r="A444" s="537" t="s">
        <v>47</v>
      </c>
      <c r="B444" s="1"/>
      <c r="C444" s="1"/>
      <c r="D444" s="416"/>
      <c r="E444" s="416"/>
      <c r="F444" s="416"/>
      <c r="G444" s="416"/>
      <c r="H444" s="416"/>
      <c r="I444" s="416"/>
      <c r="J444" s="416"/>
      <c r="K444" s="1485"/>
      <c r="L444" s="1485"/>
      <c r="M444" s="2670"/>
      <c r="N444" s="2670"/>
      <c r="O444" s="2670"/>
    </row>
    <row r="445" spans="1:15" ht="15.75" hidden="1" thickBot="1">
      <c r="A445" s="1031" t="s">
        <v>48</v>
      </c>
      <c r="B445" s="27"/>
      <c r="C445" s="27"/>
      <c r="D445" s="427"/>
      <c r="E445" s="427"/>
      <c r="F445" s="427"/>
      <c r="G445" s="427"/>
      <c r="H445" s="427"/>
      <c r="I445" s="427"/>
      <c r="J445" s="427"/>
      <c r="K445" s="1487"/>
      <c r="L445" s="1487"/>
      <c r="M445" s="2670"/>
      <c r="N445" s="2670"/>
      <c r="O445" s="2670"/>
    </row>
    <row r="446" spans="1:15" ht="15.75" thickBot="1">
      <c r="A446" s="509"/>
      <c r="B446" s="430" t="s">
        <v>157</v>
      </c>
      <c r="C446" s="430" t="s">
        <v>11</v>
      </c>
      <c r="D446" s="430">
        <f>D430+D431+D433+D436+D437+D441</f>
        <v>17382.439999999999</v>
      </c>
      <c r="E446" s="430">
        <f>E430+E432+E433+E436+E437</f>
        <v>22920.437679999999</v>
      </c>
      <c r="F446" s="430">
        <f t="shared" ref="F446" si="142">F430+F432+F433+F436+F437</f>
        <v>17728.989999999998</v>
      </c>
      <c r="G446" s="430">
        <f>G430+G432+G433+G436+G437</f>
        <v>24540.357973999999</v>
      </c>
      <c r="H446" s="430">
        <f t="shared" ref="H446:L446" si="143">H430+H432+H433+H436+H437</f>
        <v>15252.868548799999</v>
      </c>
      <c r="I446" s="430">
        <f t="shared" si="143"/>
        <v>30505.737097599998</v>
      </c>
      <c r="J446" s="430">
        <f>J430+J432+J433+J436+J437</f>
        <v>32114.11670672</v>
      </c>
      <c r="K446" s="430">
        <f t="shared" si="143"/>
        <v>34009.834752412156</v>
      </c>
      <c r="L446" s="2645">
        <f t="shared" si="143"/>
        <v>36076.485198742492</v>
      </c>
      <c r="M446" s="2677">
        <f>M430+M432+M433+M436+M437</f>
        <v>25781.898009296001</v>
      </c>
      <c r="N446" s="2677">
        <f t="shared" ref="N446:O446" si="144">N430+N432+N433+N436+N437</f>
        <v>27809.82906964896</v>
      </c>
      <c r="O446" s="2677">
        <f t="shared" si="144"/>
        <v>33076.485860345449</v>
      </c>
    </row>
    <row r="447" spans="1:15">
      <c r="G447" s="423"/>
      <c r="H447" s="423"/>
      <c r="I447" s="423"/>
    </row>
    <row r="448" spans="1:15" ht="19.5" thickBot="1">
      <c r="A448" s="360" t="s">
        <v>534</v>
      </c>
    </row>
    <row r="449" spans="1:15" ht="15.75" thickBot="1">
      <c r="A449" s="3389" t="s">
        <v>0</v>
      </c>
      <c r="B449" s="3389" t="s">
        <v>1</v>
      </c>
      <c r="C449" s="3389" t="s">
        <v>2</v>
      </c>
      <c r="D449" s="3432" t="s">
        <v>165</v>
      </c>
      <c r="E449" s="3433"/>
      <c r="F449" s="3433"/>
      <c r="G449" s="3433"/>
      <c r="H449" s="3433"/>
      <c r="I449" s="3433"/>
      <c r="J449" s="3433"/>
      <c r="K449" s="1571"/>
      <c r="L449" s="1571"/>
      <c r="M449" s="3432" t="s">
        <v>1460</v>
      </c>
      <c r="N449" s="3433"/>
      <c r="O449" s="3434"/>
    </row>
    <row r="450" spans="1:15" ht="15.75" customHeight="1" thickBot="1">
      <c r="A450" s="3401"/>
      <c r="B450" s="3401"/>
      <c r="C450" s="3401"/>
      <c r="D450" s="3455" t="s">
        <v>1103</v>
      </c>
      <c r="E450" s="3456"/>
      <c r="F450" s="3416">
        <v>2015</v>
      </c>
      <c r="G450" s="3417"/>
      <c r="H450" s="3389" t="s">
        <v>1375</v>
      </c>
      <c r="I450" s="3389" t="s">
        <v>1376</v>
      </c>
      <c r="J450" s="3436" t="s">
        <v>394</v>
      </c>
      <c r="K450" s="3436" t="s">
        <v>1154</v>
      </c>
      <c r="L450" s="3455" t="s">
        <v>1155</v>
      </c>
      <c r="M450" s="3454" t="s">
        <v>1151</v>
      </c>
      <c r="N450" s="3454" t="s">
        <v>1672</v>
      </c>
      <c r="O450" s="3454" t="s">
        <v>1673</v>
      </c>
    </row>
    <row r="451" spans="1:15" ht="28.5" customHeight="1" thickBot="1">
      <c r="A451" s="3390"/>
      <c r="B451" s="3390"/>
      <c r="C451" s="3390"/>
      <c r="D451" s="1574" t="s">
        <v>5</v>
      </c>
      <c r="E451" s="476" t="s">
        <v>6</v>
      </c>
      <c r="F451" s="476" t="s">
        <v>7</v>
      </c>
      <c r="G451" s="476" t="s">
        <v>8</v>
      </c>
      <c r="H451" s="3390"/>
      <c r="I451" s="3390"/>
      <c r="J451" s="3437"/>
      <c r="K451" s="3437"/>
      <c r="L451" s="3471"/>
      <c r="M451" s="3454"/>
      <c r="N451" s="3454"/>
      <c r="O451" s="3454"/>
    </row>
    <row r="452" spans="1:15">
      <c r="A452" s="534">
        <v>1</v>
      </c>
      <c r="B452" s="3">
        <v>2</v>
      </c>
      <c r="C452" s="3">
        <v>3</v>
      </c>
      <c r="D452" s="3">
        <v>4</v>
      </c>
      <c r="E452" s="3">
        <v>5</v>
      </c>
      <c r="F452" s="3">
        <v>6</v>
      </c>
      <c r="G452" s="3">
        <v>7</v>
      </c>
      <c r="H452" s="3">
        <v>8</v>
      </c>
      <c r="I452" s="3">
        <v>9</v>
      </c>
      <c r="J452" s="3">
        <v>10</v>
      </c>
      <c r="K452" s="26">
        <v>11</v>
      </c>
      <c r="L452" s="2622">
        <v>12</v>
      </c>
      <c r="M452" s="92">
        <v>13</v>
      </c>
      <c r="N452" s="92">
        <v>14</v>
      </c>
      <c r="O452" s="92">
        <v>15</v>
      </c>
    </row>
    <row r="453" spans="1:15" ht="51">
      <c r="A453" s="536" t="s">
        <v>174</v>
      </c>
      <c r="B453" s="181" t="s">
        <v>378</v>
      </c>
      <c r="C453" s="182" t="s">
        <v>11</v>
      </c>
      <c r="D453" s="85">
        <f>SUM(D454:D458)</f>
        <v>0</v>
      </c>
      <c r="E453" s="85">
        <f t="shared" ref="E453" si="145">SUM(E454:E458)</f>
        <v>0</v>
      </c>
      <c r="F453" s="85"/>
      <c r="G453" s="85"/>
      <c r="H453" s="85"/>
      <c r="I453" s="85"/>
      <c r="J453" s="85"/>
      <c r="K453" s="85"/>
      <c r="L453" s="2667"/>
      <c r="M453" s="1"/>
      <c r="N453" s="1"/>
      <c r="O453" s="1"/>
    </row>
    <row r="454" spans="1:15">
      <c r="A454" s="521" t="s">
        <v>10</v>
      </c>
      <c r="B454" s="177" t="s">
        <v>955</v>
      </c>
      <c r="C454" s="178" t="s">
        <v>11</v>
      </c>
      <c r="D454" s="1"/>
      <c r="E454" s="1"/>
      <c r="F454" s="394">
        <v>6544.98</v>
      </c>
      <c r="G454" s="394">
        <v>6544.98</v>
      </c>
      <c r="H454" s="394"/>
      <c r="I454" s="394"/>
      <c r="J454" s="1"/>
      <c r="K454" s="1"/>
      <c r="L454" s="50"/>
      <c r="M454" s="1"/>
      <c r="N454" s="1"/>
      <c r="O454" s="1"/>
    </row>
    <row r="455" spans="1:15" hidden="1">
      <c r="A455" s="521" t="s">
        <v>18</v>
      </c>
      <c r="B455" s="177"/>
      <c r="C455" s="178" t="s">
        <v>11</v>
      </c>
      <c r="D455" s="1"/>
      <c r="E455" s="1"/>
      <c r="F455" s="1"/>
      <c r="G455" s="1"/>
      <c r="H455" s="1"/>
      <c r="I455" s="1"/>
      <c r="J455" s="1"/>
      <c r="K455" s="1"/>
      <c r="L455" s="50"/>
      <c r="M455" s="1"/>
      <c r="N455" s="1"/>
      <c r="O455" s="1"/>
    </row>
    <row r="456" spans="1:15" hidden="1">
      <c r="A456" s="521" t="s">
        <v>30</v>
      </c>
      <c r="B456" s="177"/>
      <c r="C456" s="178" t="s">
        <v>11</v>
      </c>
      <c r="D456" s="1"/>
      <c r="E456" s="1"/>
      <c r="F456" s="1"/>
      <c r="G456" s="1"/>
      <c r="H456" s="1"/>
      <c r="I456" s="1"/>
      <c r="J456" s="1"/>
      <c r="K456" s="1"/>
      <c r="L456" s="50"/>
      <c r="M456" s="1"/>
      <c r="N456" s="1"/>
      <c r="O456" s="1"/>
    </row>
    <row r="457" spans="1:15" hidden="1">
      <c r="A457" s="521" t="s">
        <v>255</v>
      </c>
      <c r="B457" s="177"/>
      <c r="C457" s="178" t="s">
        <v>11</v>
      </c>
      <c r="D457" s="1"/>
      <c r="E457" s="1"/>
      <c r="F457" s="1"/>
      <c r="G457" s="1"/>
      <c r="H457" s="1"/>
      <c r="I457" s="1"/>
      <c r="J457" s="1"/>
      <c r="K457" s="1"/>
      <c r="L457" s="50"/>
      <c r="M457" s="1"/>
      <c r="N457" s="1"/>
      <c r="O457" s="1"/>
    </row>
    <row r="458" spans="1:15" hidden="1">
      <c r="A458" s="521" t="s">
        <v>40</v>
      </c>
      <c r="B458" s="177"/>
      <c r="C458" s="178" t="s">
        <v>11</v>
      </c>
      <c r="D458" s="1"/>
      <c r="E458" s="1"/>
      <c r="F458" s="1"/>
      <c r="G458" s="1"/>
      <c r="H458" s="1"/>
      <c r="I458" s="1"/>
      <c r="J458" s="1"/>
      <c r="K458" s="1"/>
      <c r="L458" s="50"/>
      <c r="M458" s="1"/>
      <c r="N458" s="1"/>
      <c r="O458" s="1"/>
    </row>
    <row r="459" spans="1:15" ht="25.5">
      <c r="A459" s="536" t="s">
        <v>50</v>
      </c>
      <c r="B459" s="181" t="s">
        <v>380</v>
      </c>
      <c r="C459" s="182" t="s">
        <v>11</v>
      </c>
      <c r="D459" s="449">
        <f>SUM(D460:D464)</f>
        <v>0</v>
      </c>
      <c r="E459" s="501"/>
      <c r="F459" s="449"/>
      <c r="G459" s="501"/>
      <c r="H459" s="501"/>
      <c r="I459" s="501"/>
      <c r="J459" s="449"/>
      <c r="K459" s="449"/>
      <c r="L459" s="2668"/>
      <c r="M459" s="1"/>
      <c r="N459" s="1"/>
      <c r="O459" s="1"/>
    </row>
    <row r="460" spans="1:15" ht="45" customHeight="1">
      <c r="A460" s="521" t="s">
        <v>52</v>
      </c>
      <c r="B460" s="177" t="s">
        <v>1319</v>
      </c>
      <c r="C460" s="178" t="s">
        <v>11</v>
      </c>
      <c r="D460" s="416"/>
      <c r="E460" s="416"/>
      <c r="F460" s="416"/>
      <c r="G460" s="416"/>
      <c r="H460" s="416"/>
      <c r="I460" s="416"/>
      <c r="J460" s="416">
        <v>6758.2120000000004</v>
      </c>
      <c r="K460" s="416"/>
      <c r="L460" s="415"/>
      <c r="M460" s="1"/>
      <c r="N460" s="1"/>
      <c r="O460" s="1"/>
    </row>
    <row r="461" spans="1:15" hidden="1">
      <c r="A461" s="521" t="s">
        <v>54</v>
      </c>
      <c r="B461" s="177"/>
      <c r="C461" s="178" t="s">
        <v>11</v>
      </c>
      <c r="D461" s="416"/>
      <c r="E461" s="416"/>
      <c r="F461" s="416"/>
      <c r="G461" s="416"/>
      <c r="H461" s="416"/>
      <c r="I461" s="416"/>
      <c r="J461" s="416"/>
      <c r="K461" s="416"/>
      <c r="L461" s="415"/>
      <c r="M461" s="1"/>
      <c r="N461" s="1"/>
      <c r="O461" s="1"/>
    </row>
    <row r="462" spans="1:15" hidden="1">
      <c r="A462" s="521" t="s">
        <v>56</v>
      </c>
      <c r="B462" s="177"/>
      <c r="C462" s="178" t="s">
        <v>11</v>
      </c>
      <c r="D462" s="416"/>
      <c r="E462" s="416"/>
      <c r="F462" s="416"/>
      <c r="G462" s="416"/>
      <c r="H462" s="416"/>
      <c r="I462" s="416"/>
      <c r="J462" s="416"/>
      <c r="K462" s="416"/>
      <c r="L462" s="415"/>
      <c r="M462" s="1"/>
      <c r="N462" s="1"/>
      <c r="O462" s="1"/>
    </row>
    <row r="463" spans="1:15" hidden="1">
      <c r="A463" s="521" t="s">
        <v>261</v>
      </c>
      <c r="B463" s="177"/>
      <c r="C463" s="178" t="s">
        <v>11</v>
      </c>
      <c r="D463" s="416"/>
      <c r="E463" s="416"/>
      <c r="F463" s="416"/>
      <c r="G463" s="416"/>
      <c r="H463" s="416"/>
      <c r="I463" s="416"/>
      <c r="J463" s="416"/>
      <c r="K463" s="416"/>
      <c r="L463" s="415"/>
      <c r="M463" s="1"/>
      <c r="N463" s="1"/>
      <c r="O463" s="1"/>
    </row>
    <row r="464" spans="1:15" ht="14.25" customHeight="1">
      <c r="A464" s="521" t="s">
        <v>262</v>
      </c>
      <c r="B464" s="177"/>
      <c r="C464" s="178" t="s">
        <v>11</v>
      </c>
      <c r="D464" s="416"/>
      <c r="E464" s="416"/>
      <c r="F464" s="416"/>
      <c r="G464" s="416"/>
      <c r="H464" s="416"/>
      <c r="I464" s="416"/>
      <c r="J464" s="416"/>
      <c r="K464" s="416"/>
      <c r="L464" s="415"/>
      <c r="M464" s="1"/>
      <c r="N464" s="1"/>
      <c r="O464" s="1"/>
    </row>
    <row r="465" spans="1:15" ht="51">
      <c r="A465" s="536" t="s">
        <v>62</v>
      </c>
      <c r="B465" s="181" t="s">
        <v>382</v>
      </c>
      <c r="C465" s="182" t="s">
        <v>11</v>
      </c>
      <c r="D465" s="85">
        <f>SUM(D466:D471)</f>
        <v>0</v>
      </c>
      <c r="E465" s="85"/>
      <c r="F465" s="85"/>
      <c r="G465" s="85"/>
      <c r="H465" s="85"/>
      <c r="I465" s="85"/>
      <c r="J465" s="85"/>
      <c r="K465" s="85"/>
      <c r="L465" s="2667"/>
      <c r="M465" s="1"/>
      <c r="N465" s="1"/>
      <c r="O465" s="1"/>
    </row>
    <row r="466" spans="1:15">
      <c r="A466" s="521" t="s">
        <v>64</v>
      </c>
      <c r="B466" s="177"/>
      <c r="C466" s="178" t="s">
        <v>11</v>
      </c>
      <c r="D466" s="1"/>
      <c r="E466" s="1"/>
      <c r="F466" s="1"/>
      <c r="G466" s="1"/>
      <c r="H466" s="1"/>
      <c r="I466" s="1"/>
      <c r="J466" s="1"/>
      <c r="K466" s="1"/>
      <c r="L466" s="50"/>
      <c r="M466" s="1"/>
      <c r="N466" s="1"/>
      <c r="O466" s="1"/>
    </row>
    <row r="467" spans="1:15">
      <c r="A467" s="521" t="s">
        <v>80</v>
      </c>
      <c r="B467" s="177"/>
      <c r="C467" s="178" t="s">
        <v>11</v>
      </c>
      <c r="D467" s="1"/>
      <c r="E467" s="1"/>
      <c r="F467" s="1"/>
      <c r="G467" s="1"/>
      <c r="H467" s="1"/>
      <c r="I467" s="1"/>
      <c r="J467" s="1"/>
      <c r="K467" s="1"/>
      <c r="L467" s="50"/>
      <c r="M467" s="1"/>
      <c r="N467" s="1"/>
      <c r="O467" s="1"/>
    </row>
    <row r="468" spans="1:15" ht="38.25">
      <c r="A468" s="1094" t="s">
        <v>163</v>
      </c>
      <c r="B468" s="181" t="s">
        <v>631</v>
      </c>
      <c r="C468" s="182" t="s">
        <v>11</v>
      </c>
      <c r="D468" s="1588"/>
      <c r="E468" s="511">
        <f>'сбытовые расходы'!G9/1000</f>
        <v>7824.9219999999996</v>
      </c>
      <c r="F468" s="1588">
        <f>372027.6/100*2</f>
        <v>7440.5519999999997</v>
      </c>
      <c r="G468" s="511">
        <f>E468</f>
        <v>7824.9219999999996</v>
      </c>
      <c r="H468" s="511">
        <v>4088.52</v>
      </c>
      <c r="I468" s="511">
        <v>8177</v>
      </c>
      <c r="J468" s="426">
        <v>8528.66</v>
      </c>
      <c r="K468" s="426">
        <f>J468*1.043</f>
        <v>8895.3923799999993</v>
      </c>
      <c r="L468" s="2651">
        <v>8895.39</v>
      </c>
      <c r="M468" s="2651">
        <f>E468</f>
        <v>7824.9219999999996</v>
      </c>
      <c r="N468" s="2651">
        <f>I468</f>
        <v>8177</v>
      </c>
      <c r="O468" s="2651">
        <f>N468*1.045</f>
        <v>8544.9650000000001</v>
      </c>
    </row>
    <row r="469" spans="1:15">
      <c r="A469" s="1329" t="s">
        <v>101</v>
      </c>
      <c r="B469" s="1325"/>
      <c r="C469" s="1326"/>
      <c r="D469" s="1327"/>
      <c r="E469" s="1328"/>
      <c r="F469" s="1328"/>
      <c r="G469" s="1328"/>
      <c r="H469" s="1328"/>
      <c r="I469" s="1328"/>
      <c r="J469" s="481"/>
      <c r="K469" s="481"/>
      <c r="L469" s="2669"/>
      <c r="M469" s="1"/>
      <c r="N469" s="1"/>
      <c r="O469" s="1"/>
    </row>
    <row r="470" spans="1:15" ht="39.75" customHeight="1">
      <c r="A470" s="1094" t="s">
        <v>103</v>
      </c>
      <c r="B470" s="181" t="s">
        <v>1072</v>
      </c>
      <c r="C470" s="182" t="s">
        <v>11</v>
      </c>
      <c r="D470" s="510"/>
      <c r="E470" s="511">
        <v>36497.849999999991</v>
      </c>
      <c r="F470" s="511"/>
      <c r="G470" s="511"/>
      <c r="H470" s="511"/>
      <c r="I470" s="511"/>
      <c r="J470" s="426"/>
      <c r="K470" s="426"/>
      <c r="L470" s="2651"/>
      <c r="M470" s="2651">
        <f>M473+M474</f>
        <v>-45021.921999999984</v>
      </c>
      <c r="N470" s="2651"/>
      <c r="O470" s="2651"/>
    </row>
    <row r="471" spans="1:15" ht="51">
      <c r="A471" s="521" t="s">
        <v>105</v>
      </c>
      <c r="B471" s="177" t="s">
        <v>1073</v>
      </c>
      <c r="C471" s="178" t="s">
        <v>11</v>
      </c>
      <c r="D471" s="1"/>
      <c r="E471" s="1552">
        <v>4107.369999999999</v>
      </c>
      <c r="F471" s="1"/>
      <c r="G471" s="1"/>
      <c r="H471" s="1"/>
      <c r="I471" s="1"/>
      <c r="J471" s="1"/>
      <c r="K471" s="1"/>
      <c r="L471" s="50"/>
      <c r="M471" s="1"/>
      <c r="N471" s="1"/>
      <c r="O471" s="1"/>
    </row>
    <row r="472" spans="1:15" ht="53.25" customHeight="1">
      <c r="A472" s="14" t="s">
        <v>270</v>
      </c>
      <c r="B472" s="177" t="s">
        <v>1074</v>
      </c>
      <c r="C472" s="178" t="s">
        <v>11</v>
      </c>
      <c r="D472" s="2679"/>
      <c r="E472" s="1552">
        <v>32390.479999999989</v>
      </c>
      <c r="F472" s="2679"/>
      <c r="G472" s="2679"/>
      <c r="H472" s="2679"/>
      <c r="I472" s="2679"/>
      <c r="J472" s="2679"/>
      <c r="K472" s="2679"/>
      <c r="L472" s="2679"/>
      <c r="M472" s="1"/>
      <c r="N472" s="1"/>
      <c r="O472" s="1"/>
    </row>
    <row r="473" spans="1:15" ht="54.75" customHeight="1">
      <c r="A473" s="14" t="s">
        <v>271</v>
      </c>
      <c r="B473" s="177" t="s">
        <v>1674</v>
      </c>
      <c r="C473" s="178"/>
      <c r="D473" s="2679"/>
      <c r="E473" s="1552"/>
      <c r="F473" s="2679"/>
      <c r="G473" s="2679"/>
      <c r="H473" s="2679"/>
      <c r="I473" s="2679"/>
      <c r="J473" s="2679"/>
      <c r="K473" s="2679"/>
      <c r="L473" s="2679"/>
      <c r="M473" s="1">
        <f>-D421</f>
        <v>-1067.29</v>
      </c>
      <c r="N473" s="1"/>
      <c r="O473" s="1"/>
    </row>
    <row r="474" spans="1:15" ht="53.25" customHeight="1">
      <c r="A474" s="14" t="s">
        <v>272</v>
      </c>
      <c r="B474" s="177" t="s">
        <v>1745</v>
      </c>
      <c r="C474" s="178"/>
      <c r="D474" s="2679"/>
      <c r="E474" s="1552"/>
      <c r="F474" s="2679"/>
      <c r="G474" s="2679"/>
      <c r="H474" s="2679"/>
      <c r="I474" s="2679"/>
      <c r="J474" s="2679"/>
      <c r="K474" s="2679"/>
      <c r="L474" s="2679"/>
      <c r="M474" s="416">
        <f>-((D321-E321)+(D313-E313))</f>
        <v>-43954.631999999983</v>
      </c>
      <c r="N474" s="1"/>
      <c r="O474" s="1"/>
    </row>
    <row r="475" spans="1:15" ht="53.25" customHeight="1">
      <c r="A475" s="14" t="s">
        <v>273</v>
      </c>
      <c r="B475" s="177"/>
      <c r="C475" s="178"/>
      <c r="D475" s="2679"/>
      <c r="E475" s="1552"/>
      <c r="F475" s="2679"/>
      <c r="G475" s="2679"/>
      <c r="H475" s="2679"/>
      <c r="I475" s="2679"/>
      <c r="J475" s="2679"/>
      <c r="K475" s="2679"/>
      <c r="L475" s="2679"/>
      <c r="M475" s="1"/>
      <c r="N475" s="1"/>
      <c r="O475" s="1"/>
    </row>
    <row r="476" spans="1:15" ht="26.25" customHeight="1" thickBot="1">
      <c r="A476" s="2678"/>
      <c r="B476" s="2920" t="s">
        <v>157</v>
      </c>
      <c r="C476" s="2921" t="s">
        <v>11</v>
      </c>
      <c r="D476" s="2921">
        <f t="shared" ref="D476:O476" si="146">D453+D459+D465+D468</f>
        <v>0</v>
      </c>
      <c r="E476" s="2921">
        <v>-36497.85</v>
      </c>
      <c r="F476" s="2921">
        <f t="shared" si="146"/>
        <v>7440.5519999999997</v>
      </c>
      <c r="G476" s="2921">
        <f t="shared" si="146"/>
        <v>7824.9219999999996</v>
      </c>
      <c r="H476" s="2921">
        <f t="shared" si="146"/>
        <v>4088.52</v>
      </c>
      <c r="I476" s="2921">
        <f t="shared" si="146"/>
        <v>8177</v>
      </c>
      <c r="J476" s="2921">
        <f t="shared" si="146"/>
        <v>8528.66</v>
      </c>
      <c r="K476" s="2921">
        <f t="shared" si="146"/>
        <v>8895.3923799999993</v>
      </c>
      <c r="L476" s="2922">
        <f t="shared" si="146"/>
        <v>8895.39</v>
      </c>
      <c r="M476" s="2922">
        <f>M453+M459+M465+M468+M470</f>
        <v>-37196.999999999985</v>
      </c>
      <c r="N476" s="2922">
        <f t="shared" si="146"/>
        <v>8177</v>
      </c>
      <c r="O476" s="2922">
        <f t="shared" si="146"/>
        <v>8544.9650000000001</v>
      </c>
    </row>
  </sheetData>
  <mergeCells count="196">
    <mergeCell ref="M449:O449"/>
    <mergeCell ref="M450:M451"/>
    <mergeCell ref="O426:O427"/>
    <mergeCell ref="O450:O451"/>
    <mergeCell ref="N450:N451"/>
    <mergeCell ref="N426:N427"/>
    <mergeCell ref="M343:O344"/>
    <mergeCell ref="H426:H427"/>
    <mergeCell ref="I426:I427"/>
    <mergeCell ref="J426:J427"/>
    <mergeCell ref="K426:K427"/>
    <mergeCell ref="K450:K451"/>
    <mergeCell ref="L450:L451"/>
    <mergeCell ref="H450:H451"/>
    <mergeCell ref="I450:I451"/>
    <mergeCell ref="D449:J449"/>
    <mergeCell ref="L400:L401"/>
    <mergeCell ref="H344:H345"/>
    <mergeCell ref="I344:I345"/>
    <mergeCell ref="H400:H401"/>
    <mergeCell ref="I400:I401"/>
    <mergeCell ref="D343:J343"/>
    <mergeCell ref="B105:B107"/>
    <mergeCell ref="A185:A187"/>
    <mergeCell ref="B185:B187"/>
    <mergeCell ref="C185:C187"/>
    <mergeCell ref="F221:J221"/>
    <mergeCell ref="A203:A205"/>
    <mergeCell ref="B203:B205"/>
    <mergeCell ref="C203:C205"/>
    <mergeCell ref="D204:E204"/>
    <mergeCell ref="F204:G204"/>
    <mergeCell ref="J204:J205"/>
    <mergeCell ref="D185:J185"/>
    <mergeCell ref="D186:E186"/>
    <mergeCell ref="F186:G186"/>
    <mergeCell ref="H164:H165"/>
    <mergeCell ref="I164:I165"/>
    <mergeCell ref="H186:H187"/>
    <mergeCell ref="F197:J197"/>
    <mergeCell ref="F182:J182"/>
    <mergeCell ref="F200:J200"/>
    <mergeCell ref="I186:I187"/>
    <mergeCell ref="F198:J198"/>
    <mergeCell ref="K10:K11"/>
    <mergeCell ref="L10:L11"/>
    <mergeCell ref="K164:K165"/>
    <mergeCell ref="L164:L165"/>
    <mergeCell ref="M105:O106"/>
    <mergeCell ref="M163:O164"/>
    <mergeCell ref="M203:O204"/>
    <mergeCell ref="M227:O228"/>
    <mergeCell ref="K186:K187"/>
    <mergeCell ref="L186:L187"/>
    <mergeCell ref="M9:M10"/>
    <mergeCell ref="F5:J5"/>
    <mergeCell ref="F2:J2"/>
    <mergeCell ref="F3:J3"/>
    <mergeCell ref="F99:J99"/>
    <mergeCell ref="F100:J100"/>
    <mergeCell ref="F102:J102"/>
    <mergeCell ref="J10:J11"/>
    <mergeCell ref="I10:I11"/>
    <mergeCell ref="A282:A284"/>
    <mergeCell ref="B282:B284"/>
    <mergeCell ref="J283:J284"/>
    <mergeCell ref="J186:J187"/>
    <mergeCell ref="F179:J179"/>
    <mergeCell ref="F164:G164"/>
    <mergeCell ref="J164:J165"/>
    <mergeCell ref="D228:E228"/>
    <mergeCell ref="F228:G228"/>
    <mergeCell ref="J228:J229"/>
    <mergeCell ref="D244:J244"/>
    <mergeCell ref="F222:J222"/>
    <mergeCell ref="F224:J224"/>
    <mergeCell ref="D245:E245"/>
    <mergeCell ref="F245:G245"/>
    <mergeCell ref="J245:J246"/>
    <mergeCell ref="A449:A451"/>
    <mergeCell ref="B449:B451"/>
    <mergeCell ref="C449:C451"/>
    <mergeCell ref="D450:E450"/>
    <mergeCell ref="F450:G450"/>
    <mergeCell ref="J450:J451"/>
    <mergeCell ref="D425:J425"/>
    <mergeCell ref="C425:C427"/>
    <mergeCell ref="D426:E426"/>
    <mergeCell ref="F426:G426"/>
    <mergeCell ref="D268:E268"/>
    <mergeCell ref="F268:G268"/>
    <mergeCell ref="J268:J269"/>
    <mergeCell ref="A243:J243"/>
    <mergeCell ref="A244:A246"/>
    <mergeCell ref="B244:B246"/>
    <mergeCell ref="C244:C246"/>
    <mergeCell ref="K204:K205"/>
    <mergeCell ref="L204:L205"/>
    <mergeCell ref="K228:K229"/>
    <mergeCell ref="L228:L229"/>
    <mergeCell ref="K245:K246"/>
    <mergeCell ref="L245:L246"/>
    <mergeCell ref="C227:C229"/>
    <mergeCell ref="A267:A269"/>
    <mergeCell ref="B267:B269"/>
    <mergeCell ref="D267:J267"/>
    <mergeCell ref="H268:H269"/>
    <mergeCell ref="I268:I269"/>
    <mergeCell ref="C267:C269"/>
    <mergeCell ref="K268:K269"/>
    <mergeCell ref="J310:J311"/>
    <mergeCell ref="K400:K401"/>
    <mergeCell ref="D400:E400"/>
    <mergeCell ref="F400:G400"/>
    <mergeCell ref="C282:C284"/>
    <mergeCell ref="C343:C345"/>
    <mergeCell ref="D344:E344"/>
    <mergeCell ref="F344:G344"/>
    <mergeCell ref="J344:J345"/>
    <mergeCell ref="F340:J340"/>
    <mergeCell ref="I283:I284"/>
    <mergeCell ref="D282:J282"/>
    <mergeCell ref="H283:H284"/>
    <mergeCell ref="D283:E283"/>
    <mergeCell ref="F283:G283"/>
    <mergeCell ref="J400:J401"/>
    <mergeCell ref="D399:J399"/>
    <mergeCell ref="H310:H311"/>
    <mergeCell ref="I310:I311"/>
    <mergeCell ref="A9:A11"/>
    <mergeCell ref="B9:B11"/>
    <mergeCell ref="C9:C11"/>
    <mergeCell ref="D9:J9"/>
    <mergeCell ref="D10:E10"/>
    <mergeCell ref="F10:G10"/>
    <mergeCell ref="H10:H11"/>
    <mergeCell ref="A227:A229"/>
    <mergeCell ref="B227:B229"/>
    <mergeCell ref="B163:B165"/>
    <mergeCell ref="A163:A165"/>
    <mergeCell ref="F180:J180"/>
    <mergeCell ref="C163:C165"/>
    <mergeCell ref="D164:E164"/>
    <mergeCell ref="C105:C107"/>
    <mergeCell ref="D105:J105"/>
    <mergeCell ref="D106:E106"/>
    <mergeCell ref="F106:G106"/>
    <mergeCell ref="D163:J163"/>
    <mergeCell ref="D203:J203"/>
    <mergeCell ref="I228:I229"/>
    <mergeCell ref="H228:H229"/>
    <mergeCell ref="D227:J227"/>
    <mergeCell ref="H204:H205"/>
    <mergeCell ref="M309:O310"/>
    <mergeCell ref="P309:Q310"/>
    <mergeCell ref="M426:M427"/>
    <mergeCell ref="M425:O425"/>
    <mergeCell ref="L426:L427"/>
    <mergeCell ref="A309:A311"/>
    <mergeCell ref="B309:B311"/>
    <mergeCell ref="C309:C311"/>
    <mergeCell ref="D310:E310"/>
    <mergeCell ref="F310:G310"/>
    <mergeCell ref="D309:J309"/>
    <mergeCell ref="A343:A345"/>
    <mergeCell ref="B343:B345"/>
    <mergeCell ref="F337:J337"/>
    <mergeCell ref="F338:J338"/>
    <mergeCell ref="A425:A427"/>
    <mergeCell ref="B425:B427"/>
    <mergeCell ref="A399:A401"/>
    <mergeCell ref="B399:B401"/>
    <mergeCell ref="C399:C401"/>
    <mergeCell ref="K310:K311"/>
    <mergeCell ref="L310:L311"/>
    <mergeCell ref="K344:K345"/>
    <mergeCell ref="L344:L345"/>
    <mergeCell ref="R103:S103"/>
    <mergeCell ref="Q162:R162"/>
    <mergeCell ref="H106:H107"/>
    <mergeCell ref="I106:I107"/>
    <mergeCell ref="J106:J107"/>
    <mergeCell ref="K106:K107"/>
    <mergeCell ref="L106:L107"/>
    <mergeCell ref="L268:L269"/>
    <mergeCell ref="K283:K284"/>
    <mergeCell ref="L283:L284"/>
    <mergeCell ref="M244:O245"/>
    <mergeCell ref="M267:O268"/>
    <mergeCell ref="M282:O283"/>
    <mergeCell ref="Q105:Q129"/>
    <mergeCell ref="Q150:Q152"/>
    <mergeCell ref="H245:H246"/>
    <mergeCell ref="I245:I246"/>
    <mergeCell ref="I204:I205"/>
    <mergeCell ref="I279:L279"/>
  </mergeCells>
  <pageMargins left="0.25" right="0.25" top="0.75" bottom="0.75" header="0.3" footer="0.3"/>
  <pageSetup paperSize="9" scale="10" orientation="landscape" r:id="rId1"/>
  <rowBreaks count="9" manualBreakCount="9">
    <brk id="52" max="9" man="1"/>
    <brk id="98" max="16383" man="1"/>
    <brk id="178" max="16383" man="1"/>
    <brk id="220" max="16383" man="1"/>
    <brk id="265" max="9" man="1"/>
    <brk id="307" max="9" man="1"/>
    <brk id="335" max="16383" man="1"/>
    <brk id="396" max="9" man="1"/>
    <brk id="447" max="9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S70"/>
  <sheetViews>
    <sheetView topLeftCell="A43" zoomScale="90" zoomScaleNormal="90" workbookViewId="0">
      <selection activeCell="O9" sqref="O9"/>
    </sheetView>
  </sheetViews>
  <sheetFormatPr defaultRowHeight="15"/>
  <cols>
    <col min="1" max="1" width="5.28515625" style="2049" customWidth="1"/>
    <col min="2" max="2" width="38.28515625" style="2049" customWidth="1"/>
    <col min="3" max="3" width="9.140625" style="2049"/>
    <col min="4" max="4" width="10.85546875" style="2049" customWidth="1"/>
    <col min="5" max="5" width="11.42578125" style="2049" customWidth="1"/>
    <col min="6" max="6" width="12.28515625" style="2049" customWidth="1"/>
    <col min="7" max="7" width="12" style="2049" customWidth="1"/>
    <col min="8" max="8" width="10.42578125" style="2049" hidden="1" customWidth="1"/>
    <col min="9" max="9" width="10.85546875" style="2049" hidden="1" customWidth="1"/>
    <col min="10" max="10" width="10.85546875" style="2049" customWidth="1"/>
    <col min="11" max="11" width="12.42578125" style="2049" customWidth="1"/>
    <col min="12" max="12" width="10.140625" style="2049" customWidth="1"/>
    <col min="13" max="13" width="11.140625" style="2049" customWidth="1"/>
    <col min="14" max="14" width="10.7109375" style="2049" customWidth="1"/>
    <col min="15" max="15" width="12.5703125" style="2049" customWidth="1"/>
    <col min="16" max="16" width="11.140625" style="2049" customWidth="1"/>
    <col min="17" max="17" width="14.140625" style="2049" customWidth="1"/>
    <col min="18" max="18" width="10" style="2049" bestFit="1" customWidth="1"/>
    <col min="19" max="16384" width="9.140625" style="2049"/>
  </cols>
  <sheetData>
    <row r="1" spans="1:17">
      <c r="A1" s="3487" t="s">
        <v>1268</v>
      </c>
      <c r="B1" s="3487"/>
    </row>
    <row r="2" spans="1:17" ht="15.75" thickBot="1">
      <c r="A2" s="2305" t="s">
        <v>391</v>
      </c>
      <c r="B2" s="2306"/>
      <c r="C2" s="2307"/>
      <c r="D2" s="2306"/>
      <c r="E2" s="2306"/>
      <c r="F2" s="2306"/>
      <c r="G2" s="2306"/>
      <c r="H2" s="2308">
        <v>1.0449999999999999</v>
      </c>
      <c r="I2" s="2308">
        <v>1.0429999999999999</v>
      </c>
      <c r="J2" s="2309"/>
      <c r="K2" s="2309"/>
      <c r="L2" s="2306">
        <v>1.0449999999999999</v>
      </c>
      <c r="M2" s="2306">
        <v>1.0429999999999999</v>
      </c>
      <c r="N2" s="2306">
        <v>1.0429999999999999</v>
      </c>
      <c r="O2" s="2306"/>
      <c r="P2" s="2306"/>
    </row>
    <row r="3" spans="1:17" ht="15.75" thickBot="1">
      <c r="A3" s="3488" t="s">
        <v>0</v>
      </c>
      <c r="B3" s="3478" t="s">
        <v>1</v>
      </c>
      <c r="C3" s="3478" t="s">
        <v>2</v>
      </c>
      <c r="D3" s="3484" t="s">
        <v>165</v>
      </c>
      <c r="E3" s="3485"/>
      <c r="F3" s="3485"/>
      <c r="G3" s="3485"/>
      <c r="H3" s="3485"/>
      <c r="I3" s="3485"/>
      <c r="J3" s="3485"/>
      <c r="K3" s="3485"/>
      <c r="L3" s="3485"/>
      <c r="M3" s="3485"/>
      <c r="N3" s="3485"/>
      <c r="O3" s="3484" t="s">
        <v>1681</v>
      </c>
      <c r="P3" s="3485"/>
      <c r="Q3" s="3486"/>
    </row>
    <row r="4" spans="1:17" ht="15.75" customHeight="1" thickBot="1">
      <c r="A4" s="3489"/>
      <c r="B4" s="3491"/>
      <c r="C4" s="3491"/>
      <c r="D4" s="3492">
        <v>2014</v>
      </c>
      <c r="E4" s="3492"/>
      <c r="F4" s="3493" t="s">
        <v>1270</v>
      </c>
      <c r="G4" s="3494"/>
      <c r="H4" s="3478" t="s">
        <v>394</v>
      </c>
      <c r="I4" s="3478" t="s">
        <v>395</v>
      </c>
      <c r="J4" s="3472" t="s">
        <v>1375</v>
      </c>
      <c r="K4" s="3478" t="s">
        <v>1362</v>
      </c>
      <c r="L4" s="3476" t="s">
        <v>394</v>
      </c>
      <c r="M4" s="3476" t="s">
        <v>395</v>
      </c>
      <c r="N4" s="3480" t="s">
        <v>1155</v>
      </c>
      <c r="O4" s="3476" t="s">
        <v>1272</v>
      </c>
      <c r="P4" s="2638"/>
      <c r="Q4" s="3478" t="s">
        <v>1070</v>
      </c>
    </row>
    <row r="5" spans="1:17" ht="39.75" customHeight="1" thickBot="1">
      <c r="A5" s="3490"/>
      <c r="B5" s="3479"/>
      <c r="C5" s="3479"/>
      <c r="D5" s="2271" t="s">
        <v>5</v>
      </c>
      <c r="E5" s="2053" t="s">
        <v>6</v>
      </c>
      <c r="F5" s="2053" t="s">
        <v>1152</v>
      </c>
      <c r="G5" s="2310" t="s">
        <v>1271</v>
      </c>
      <c r="H5" s="3479"/>
      <c r="I5" s="3479"/>
      <c r="J5" s="3473"/>
      <c r="K5" s="3479"/>
      <c r="L5" s="3477"/>
      <c r="M5" s="3477"/>
      <c r="N5" s="3481"/>
      <c r="O5" s="3477"/>
      <c r="P5" s="2639"/>
      <c r="Q5" s="3479"/>
    </row>
    <row r="6" spans="1:17">
      <c r="A6" s="2311">
        <v>1</v>
      </c>
      <c r="B6" s="2312">
        <v>2</v>
      </c>
      <c r="C6" s="2313">
        <v>3</v>
      </c>
      <c r="D6" s="2313">
        <v>4</v>
      </c>
      <c r="E6" s="2313">
        <v>5</v>
      </c>
      <c r="F6" s="2313">
        <v>6</v>
      </c>
      <c r="G6" s="2313">
        <v>7</v>
      </c>
      <c r="H6" s="2313"/>
      <c r="I6" s="2313"/>
      <c r="J6" s="2313"/>
      <c r="K6" s="2313"/>
      <c r="L6" s="2314"/>
      <c r="M6" s="2314"/>
      <c r="N6" s="2315"/>
      <c r="O6" s="2072"/>
      <c r="P6" s="2744"/>
      <c r="Q6" s="2316">
        <v>10</v>
      </c>
    </row>
    <row r="7" spans="1:17">
      <c r="A7" s="2317"/>
      <c r="B7" s="2318" t="s">
        <v>391</v>
      </c>
      <c r="C7" s="2319"/>
      <c r="D7" s="2319"/>
      <c r="E7" s="2319"/>
      <c r="F7" s="2319"/>
      <c r="G7" s="2319"/>
      <c r="H7" s="2319"/>
      <c r="I7" s="2319"/>
      <c r="J7" s="2319"/>
      <c r="K7" s="2319"/>
      <c r="L7" s="2320"/>
      <c r="M7" s="2320"/>
      <c r="N7" s="2321"/>
      <c r="O7" s="2322"/>
      <c r="P7" s="2745"/>
      <c r="Q7" s="2323"/>
    </row>
    <row r="8" spans="1:17">
      <c r="A8" s="2324" t="s">
        <v>174</v>
      </c>
      <c r="B8" s="2325" t="s">
        <v>21</v>
      </c>
      <c r="C8" s="2326" t="s">
        <v>383</v>
      </c>
      <c r="D8" s="2327">
        <v>447.8</v>
      </c>
      <c r="E8" s="2328">
        <f>'[8]Себ ГОД'!$ET$219</f>
        <v>274.08972999999997</v>
      </c>
      <c r="F8" s="2327">
        <v>328.33940000000001</v>
      </c>
      <c r="G8" s="2328">
        <f>E8*1.045</f>
        <v>286.42376784999993</v>
      </c>
      <c r="H8" s="2327" t="e">
        <f>#REF!*$H$1</f>
        <v>#REF!</v>
      </c>
      <c r="I8" s="2327" t="e">
        <f t="shared" ref="I8:I52" si="0">H8*$I$1</f>
        <v>#REF!</v>
      </c>
      <c r="J8" s="2327">
        <v>381.55</v>
      </c>
      <c r="K8" s="2327">
        <f>J8*2</f>
        <v>763.1</v>
      </c>
      <c r="L8" s="2327">
        <f>K8*$L$2</f>
        <v>797.43949999999995</v>
      </c>
      <c r="M8" s="2327">
        <f t="shared" ref="M8:M52" si="1">L8*$M$2</f>
        <v>831.72939849999989</v>
      </c>
      <c r="N8" s="2329">
        <f t="shared" ref="N8:N52" si="2">M8*$N$2</f>
        <v>867.49376263549982</v>
      </c>
      <c r="O8" s="2330">
        <f>F8*1.078</f>
        <v>353.94987320000001</v>
      </c>
      <c r="P8" s="2746"/>
      <c r="Q8" s="2331"/>
    </row>
    <row r="9" spans="1:17">
      <c r="A9" s="2332" t="s">
        <v>50</v>
      </c>
      <c r="B9" s="2325" t="s">
        <v>104</v>
      </c>
      <c r="C9" s="2326" t="s">
        <v>383</v>
      </c>
      <c r="D9" s="2327">
        <v>6500</v>
      </c>
      <c r="E9" s="2328">
        <f>'[8]Себ ГОД'!$ET$234</f>
        <v>11894.53722</v>
      </c>
      <c r="F9" s="2327">
        <v>8733</v>
      </c>
      <c r="G9" s="2328">
        <f>78790-37547.8-30982.3</f>
        <v>10259.899999999998</v>
      </c>
      <c r="H9" s="2327" t="e">
        <f>#REF!*$H$1</f>
        <v>#REF!</v>
      </c>
      <c r="I9" s="2327" t="e">
        <f t="shared" si="0"/>
        <v>#REF!</v>
      </c>
      <c r="J9" s="2363">
        <f>'[9]Себ 1 полуг'!$FR$234</f>
        <v>7313.4227299999984</v>
      </c>
      <c r="K9" s="2327">
        <f t="shared" ref="K9:K56" si="3">J9*2</f>
        <v>14626.845459999997</v>
      </c>
      <c r="L9" s="2327">
        <f t="shared" ref="L9:L50" si="4">K9*$L$2</f>
        <v>15285.053505699996</v>
      </c>
      <c r="M9" s="2327">
        <f t="shared" si="1"/>
        <v>15942.310806445095</v>
      </c>
      <c r="N9" s="2329">
        <f t="shared" si="2"/>
        <v>16627.830171122234</v>
      </c>
      <c r="O9" s="2754">
        <f>K9</f>
        <v>14626.845459999997</v>
      </c>
      <c r="P9" s="2746"/>
      <c r="Q9" s="2755" t="s">
        <v>1683</v>
      </c>
    </row>
    <row r="10" spans="1:17">
      <c r="A10" s="2324" t="s">
        <v>62</v>
      </c>
      <c r="B10" s="2333" t="s">
        <v>662</v>
      </c>
      <c r="C10" s="2326" t="s">
        <v>383</v>
      </c>
      <c r="D10" s="2334">
        <v>289.39999999999998</v>
      </c>
      <c r="E10" s="2335">
        <f>'[8]Себ ГОД'!$ET$235</f>
        <v>2999.2862700000001</v>
      </c>
      <c r="F10" s="2334">
        <v>1825.8976</v>
      </c>
      <c r="G10" s="2328">
        <f t="shared" ref="G10:G56" si="5">E10*1.045</f>
        <v>3134.2541521499998</v>
      </c>
      <c r="H10" s="2327" t="e">
        <f>#REF!*$H$1</f>
        <v>#REF!</v>
      </c>
      <c r="I10" s="2327" t="e">
        <f t="shared" si="0"/>
        <v>#REF!</v>
      </c>
      <c r="J10" s="2363">
        <f>'[9]Себ 1 полуг'!$FR$235</f>
        <v>1545.25378</v>
      </c>
      <c r="K10" s="2327">
        <f t="shared" si="3"/>
        <v>3090.50756</v>
      </c>
      <c r="L10" s="2327">
        <f t="shared" si="4"/>
        <v>3229.5804002</v>
      </c>
      <c r="M10" s="2327">
        <f t="shared" si="1"/>
        <v>3368.4523574085997</v>
      </c>
      <c r="N10" s="2329">
        <f t="shared" si="2"/>
        <v>3513.2958087771694</v>
      </c>
      <c r="O10" s="2330">
        <v>0</v>
      </c>
      <c r="P10" s="2746"/>
      <c r="Q10" s="2750" t="s">
        <v>1682</v>
      </c>
    </row>
    <row r="11" spans="1:17">
      <c r="A11" s="2332" t="s">
        <v>99</v>
      </c>
      <c r="B11" s="2333" t="s">
        <v>663</v>
      </c>
      <c r="C11" s="2326" t="s">
        <v>383</v>
      </c>
      <c r="D11" s="2334">
        <v>1410</v>
      </c>
      <c r="E11" s="2335">
        <f>'[8]Себ ГОД'!$ET$252</f>
        <v>5432.6832177294118</v>
      </c>
      <c r="F11" s="2334">
        <v>0</v>
      </c>
      <c r="G11" s="2328">
        <f t="shared" si="5"/>
        <v>5677.1539625272353</v>
      </c>
      <c r="H11" s="2327" t="e">
        <f>#REF!*$H$1</f>
        <v>#REF!</v>
      </c>
      <c r="I11" s="2327" t="e">
        <f t="shared" si="0"/>
        <v>#REF!</v>
      </c>
      <c r="J11" s="2363">
        <f>'[9]Себ 1 полуг'!$FR$252</f>
        <v>3450.3787845590105</v>
      </c>
      <c r="K11" s="2327">
        <f t="shared" si="3"/>
        <v>6900.7575691180209</v>
      </c>
      <c r="L11" s="2327">
        <f t="shared" si="4"/>
        <v>7211.2916597283311</v>
      </c>
      <c r="M11" s="2327">
        <f t="shared" si="1"/>
        <v>7521.3772010966486</v>
      </c>
      <c r="N11" s="2329">
        <f t="shared" si="2"/>
        <v>7844.7964207438035</v>
      </c>
      <c r="O11" s="2330">
        <v>0</v>
      </c>
      <c r="P11" s="2746"/>
      <c r="Q11" s="2750" t="s">
        <v>1682</v>
      </c>
    </row>
    <row r="12" spans="1:17" ht="20.25" customHeight="1">
      <c r="A12" s="2324" t="s">
        <v>221</v>
      </c>
      <c r="B12" s="2333" t="s">
        <v>1275</v>
      </c>
      <c r="C12" s="2326" t="s">
        <v>383</v>
      </c>
      <c r="D12" s="2334">
        <v>47887.9</v>
      </c>
      <c r="E12" s="2335"/>
      <c r="F12" s="2334">
        <v>50282.3</v>
      </c>
      <c r="G12" s="2328">
        <f t="shared" si="5"/>
        <v>0</v>
      </c>
      <c r="H12" s="2327" t="e">
        <f>#REF!*$H$1</f>
        <v>#REF!</v>
      </c>
      <c r="I12" s="2327" t="e">
        <f t="shared" si="0"/>
        <v>#REF!</v>
      </c>
      <c r="J12" s="2327"/>
      <c r="K12" s="2327">
        <f t="shared" si="3"/>
        <v>0</v>
      </c>
      <c r="L12" s="2327">
        <f t="shared" si="4"/>
        <v>0</v>
      </c>
      <c r="M12" s="2327">
        <f t="shared" si="1"/>
        <v>0</v>
      </c>
      <c r="N12" s="2329">
        <f t="shared" si="2"/>
        <v>0</v>
      </c>
      <c r="O12" s="2330">
        <v>0</v>
      </c>
      <c r="P12" s="2746"/>
      <c r="Q12" s="2336"/>
    </row>
    <row r="13" spans="1:17">
      <c r="A13" s="2332" t="s">
        <v>359</v>
      </c>
      <c r="B13" s="2333" t="s">
        <v>664</v>
      </c>
      <c r="C13" s="2326" t="s">
        <v>383</v>
      </c>
      <c r="D13" s="2337">
        <v>14495.7</v>
      </c>
      <c r="E13" s="2338"/>
      <c r="F13" s="2337">
        <v>15185.25</v>
      </c>
      <c r="G13" s="2328">
        <f t="shared" si="5"/>
        <v>0</v>
      </c>
      <c r="H13" s="2327" t="e">
        <f>#REF!*$H$1</f>
        <v>#REF!</v>
      </c>
      <c r="I13" s="2327" t="e">
        <f t="shared" si="0"/>
        <v>#REF!</v>
      </c>
      <c r="J13" s="2327"/>
      <c r="K13" s="2327">
        <f t="shared" si="3"/>
        <v>0</v>
      </c>
      <c r="L13" s="2327">
        <f t="shared" si="4"/>
        <v>0</v>
      </c>
      <c r="M13" s="2327">
        <f t="shared" si="1"/>
        <v>0</v>
      </c>
      <c r="N13" s="2329">
        <f t="shared" si="2"/>
        <v>0</v>
      </c>
      <c r="O13" s="2339">
        <v>0</v>
      </c>
      <c r="P13" s="2747"/>
      <c r="Q13" s="2340"/>
    </row>
    <row r="14" spans="1:17">
      <c r="A14" s="2324" t="s">
        <v>276</v>
      </c>
      <c r="B14" s="2374" t="s">
        <v>1525</v>
      </c>
      <c r="C14" s="2370" t="s">
        <v>383</v>
      </c>
      <c r="D14" s="2371">
        <v>6226.8220000000001</v>
      </c>
      <c r="E14" s="2371">
        <v>189</v>
      </c>
      <c r="F14" s="2371">
        <v>5094.7463424000007</v>
      </c>
      <c r="G14" s="2372">
        <f t="shared" si="5"/>
        <v>197.505</v>
      </c>
      <c r="H14" s="2372" t="e">
        <f>#REF!*$H$1</f>
        <v>#REF!</v>
      </c>
      <c r="I14" s="2372" t="e">
        <f t="shared" si="0"/>
        <v>#REF!</v>
      </c>
      <c r="J14" s="2372">
        <f>189.77+315.89</f>
        <v>505.65999999999997</v>
      </c>
      <c r="K14" s="2372">
        <f>189.78+317.02</f>
        <v>506.79999999999995</v>
      </c>
      <c r="L14" s="2372">
        <v>2.71</v>
      </c>
      <c r="M14" s="2372">
        <f t="shared" si="1"/>
        <v>2.82653</v>
      </c>
      <c r="N14" s="2373">
        <f t="shared" si="2"/>
        <v>2.9480707899999996</v>
      </c>
      <c r="O14" s="2339">
        <f>L14</f>
        <v>2.71</v>
      </c>
      <c r="P14" s="2747"/>
      <c r="Q14" s="2340"/>
    </row>
    <row r="15" spans="1:17">
      <c r="A15" s="2376" t="s">
        <v>130</v>
      </c>
      <c r="B15" s="2374" t="s">
        <v>1524</v>
      </c>
      <c r="C15" s="2370" t="s">
        <v>383</v>
      </c>
      <c r="D15" s="2371"/>
      <c r="E15" s="2371"/>
      <c r="F15" s="2371"/>
      <c r="G15" s="2372"/>
      <c r="H15" s="2372"/>
      <c r="I15" s="2372"/>
      <c r="J15" s="2372">
        <v>11.263</v>
      </c>
      <c r="K15" s="2372">
        <v>289.57100000000003</v>
      </c>
      <c r="L15" s="2372">
        <v>609.697</v>
      </c>
      <c r="M15" s="2372">
        <v>670.07799999999997</v>
      </c>
      <c r="N15" s="2373">
        <v>733.01199999999994</v>
      </c>
      <c r="O15" s="2339">
        <f>L15</f>
        <v>609.697</v>
      </c>
      <c r="P15" s="2747"/>
      <c r="Q15" s="2340"/>
    </row>
    <row r="16" spans="1:17">
      <c r="A16" s="2324" t="s">
        <v>368</v>
      </c>
      <c r="B16" s="2333" t="s">
        <v>665</v>
      </c>
      <c r="C16" s="2326" t="s">
        <v>383</v>
      </c>
      <c r="D16" s="2337">
        <v>540</v>
      </c>
      <c r="E16" s="2338">
        <v>370.52100000000002</v>
      </c>
      <c r="F16" s="2337">
        <v>17.687274240000001</v>
      </c>
      <c r="G16" s="2328">
        <f t="shared" si="5"/>
        <v>387.19444499999997</v>
      </c>
      <c r="H16" s="2327" t="e">
        <f>#REF!*$H$1</f>
        <v>#REF!</v>
      </c>
      <c r="I16" s="2327" t="e">
        <f t="shared" si="0"/>
        <v>#REF!</v>
      </c>
      <c r="J16" s="2327">
        <v>186.35</v>
      </c>
      <c r="K16" s="2327">
        <f t="shared" si="3"/>
        <v>372.7</v>
      </c>
      <c r="L16" s="2327">
        <f t="shared" si="4"/>
        <v>389.47149999999993</v>
      </c>
      <c r="M16" s="2327">
        <f t="shared" si="1"/>
        <v>406.21877449999988</v>
      </c>
      <c r="N16" s="2329">
        <f t="shared" si="2"/>
        <v>423.68618180349984</v>
      </c>
      <c r="O16" s="2339">
        <f>L16</f>
        <v>389.47149999999993</v>
      </c>
      <c r="P16" s="2747"/>
      <c r="Q16" s="2340"/>
    </row>
    <row r="17" spans="1:17">
      <c r="A17" s="2332" t="s">
        <v>511</v>
      </c>
      <c r="B17" s="2341" t="s">
        <v>666</v>
      </c>
      <c r="C17" s="2326" t="s">
        <v>383</v>
      </c>
      <c r="D17" s="2334">
        <v>998.07500000000005</v>
      </c>
      <c r="E17" s="2335">
        <f>'[8]Себ ГОД'!$ET$275</f>
        <v>669.89187000000004</v>
      </c>
      <c r="F17" s="2334">
        <v>661.07</v>
      </c>
      <c r="G17" s="2328">
        <f t="shared" si="5"/>
        <v>700.03700415000003</v>
      </c>
      <c r="H17" s="2327" t="e">
        <f>#REF!*$H$1</f>
        <v>#REF!</v>
      </c>
      <c r="I17" s="2327" t="e">
        <f t="shared" si="0"/>
        <v>#REF!</v>
      </c>
      <c r="J17" s="2327">
        <f>'[9]Себ 1 полуг'!$FR$275</f>
        <v>1077.1613400000001</v>
      </c>
      <c r="K17" s="2327">
        <f t="shared" si="3"/>
        <v>2154.3226800000002</v>
      </c>
      <c r="L17" s="2327">
        <f t="shared" si="4"/>
        <v>2251.2672006000003</v>
      </c>
      <c r="M17" s="2327">
        <f t="shared" si="1"/>
        <v>2348.0716902258</v>
      </c>
      <c r="N17" s="2329">
        <f t="shared" si="2"/>
        <v>2449.0387729055092</v>
      </c>
      <c r="O17" s="2330">
        <v>2015</v>
      </c>
      <c r="P17" s="2746"/>
      <c r="Q17" s="2336"/>
    </row>
    <row r="18" spans="1:17" ht="18.75" customHeight="1">
      <c r="A18" s="2324" t="s">
        <v>512</v>
      </c>
      <c r="B18" s="2341" t="s">
        <v>667</v>
      </c>
      <c r="C18" s="2326" t="s">
        <v>383</v>
      </c>
      <c r="D18" s="2334">
        <v>5448.2179999999998</v>
      </c>
      <c r="E18" s="2335">
        <f>'[8]Себ ГОД'!$ET$276</f>
        <v>3259.3745199999998</v>
      </c>
      <c r="F18" s="2334">
        <v>3376.49</v>
      </c>
      <c r="G18" s="2328">
        <f t="shared" si="5"/>
        <v>3406.0463733999995</v>
      </c>
      <c r="H18" s="2327" t="e">
        <f>#REF!*$H$1</f>
        <v>#REF!</v>
      </c>
      <c r="I18" s="2327" t="e">
        <f t="shared" si="0"/>
        <v>#REF!</v>
      </c>
      <c r="J18" s="2327">
        <f>'[9]Себ 1 полуг'!$FR$276</f>
        <v>2523.0827400000003</v>
      </c>
      <c r="K18" s="2327">
        <f t="shared" si="3"/>
        <v>5046.1654800000006</v>
      </c>
      <c r="L18" s="2327">
        <f t="shared" si="4"/>
        <v>5273.2429265999999</v>
      </c>
      <c r="M18" s="2327">
        <f t="shared" si="1"/>
        <v>5499.9923724437995</v>
      </c>
      <c r="N18" s="2329">
        <f t="shared" si="2"/>
        <v>5736.4920444588824</v>
      </c>
      <c r="O18" s="2330">
        <f>K18*1.026</f>
        <v>5177.3657824800011</v>
      </c>
      <c r="P18" s="2746"/>
      <c r="Q18" s="2336"/>
    </row>
    <row r="19" spans="1:17">
      <c r="A19" s="2332" t="s">
        <v>513</v>
      </c>
      <c r="B19" s="2341" t="s">
        <v>668</v>
      </c>
      <c r="C19" s="2326" t="s">
        <v>383</v>
      </c>
      <c r="D19" s="2334">
        <v>1060.3</v>
      </c>
      <c r="E19" s="2335">
        <v>1775.6</v>
      </c>
      <c r="F19" s="2334">
        <v>500.96</v>
      </c>
      <c r="G19" s="2328">
        <f t="shared" si="5"/>
        <v>1855.5019999999997</v>
      </c>
      <c r="H19" s="2327" t="e">
        <f>#REF!*$H$1</f>
        <v>#REF!</v>
      </c>
      <c r="I19" s="2327" t="e">
        <f t="shared" si="0"/>
        <v>#REF!</v>
      </c>
      <c r="J19" s="2327">
        <v>835.15</v>
      </c>
      <c r="K19" s="2327">
        <f t="shared" si="3"/>
        <v>1670.3</v>
      </c>
      <c r="L19" s="2327">
        <f t="shared" si="4"/>
        <v>1745.4634999999998</v>
      </c>
      <c r="M19" s="2327">
        <f t="shared" si="1"/>
        <v>1820.5184304999998</v>
      </c>
      <c r="N19" s="2329">
        <f t="shared" si="2"/>
        <v>1898.8007230114997</v>
      </c>
      <c r="O19" s="2330">
        <f>F19*1.026</f>
        <v>513.98496</v>
      </c>
      <c r="P19" s="2746"/>
      <c r="Q19" s="2336"/>
    </row>
    <row r="20" spans="1:17">
      <c r="A20" s="2324" t="s">
        <v>514</v>
      </c>
      <c r="B20" s="2325" t="s">
        <v>669</v>
      </c>
      <c r="C20" s="2326" t="s">
        <v>383</v>
      </c>
      <c r="D20" s="2334">
        <v>92.78</v>
      </c>
      <c r="E20" s="2335">
        <f>'[8]Себ ГОД'!$ET$278</f>
        <v>8.5250000000000004</v>
      </c>
      <c r="F20" s="2334">
        <v>8.3699999999999992</v>
      </c>
      <c r="G20" s="2328">
        <f t="shared" si="5"/>
        <v>8.9086249999999989</v>
      </c>
      <c r="H20" s="2327" t="e">
        <f>#REF!*$H$1</f>
        <v>#REF!</v>
      </c>
      <c r="I20" s="2327" t="e">
        <f t="shared" si="0"/>
        <v>#REF!</v>
      </c>
      <c r="J20" s="2327">
        <v>5</v>
      </c>
      <c r="K20" s="2327">
        <f t="shared" si="3"/>
        <v>10</v>
      </c>
      <c r="L20" s="2327">
        <f t="shared" si="4"/>
        <v>10.45</v>
      </c>
      <c r="M20" s="2327">
        <f t="shared" si="1"/>
        <v>10.899349999999998</v>
      </c>
      <c r="N20" s="2329">
        <f t="shared" si="2"/>
        <v>11.368022049999997</v>
      </c>
      <c r="O20" s="2330">
        <f>F20*1.026</f>
        <v>8.5876199999999994</v>
      </c>
      <c r="P20" s="2746"/>
      <c r="Q20" s="2336"/>
    </row>
    <row r="21" spans="1:17">
      <c r="A21" s="2324" t="s">
        <v>515</v>
      </c>
      <c r="B21" s="2325" t="s">
        <v>670</v>
      </c>
      <c r="C21" s="2326" t="s">
        <v>383</v>
      </c>
      <c r="D21" s="2334">
        <v>174.24</v>
      </c>
      <c r="E21" s="2335">
        <f>'[8]Себ ГОД'!$ET$280</f>
        <v>146.52000000000001</v>
      </c>
      <c r="F21" s="2334">
        <v>149.12</v>
      </c>
      <c r="G21" s="2328">
        <f t="shared" si="5"/>
        <v>153.11340000000001</v>
      </c>
      <c r="H21" s="2327" t="e">
        <f>#REF!*$H$1</f>
        <v>#REF!</v>
      </c>
      <c r="I21" s="2327" t="e">
        <f t="shared" si="0"/>
        <v>#REF!</v>
      </c>
      <c r="J21" s="2327">
        <f>'[9]Себ 1 полуг'!$FR$280</f>
        <v>100.32</v>
      </c>
      <c r="K21" s="2327">
        <f t="shared" si="3"/>
        <v>200.64</v>
      </c>
      <c r="L21" s="2327">
        <f t="shared" si="4"/>
        <v>209.66879999999998</v>
      </c>
      <c r="M21" s="2327">
        <f t="shared" si="1"/>
        <v>218.68455839999996</v>
      </c>
      <c r="N21" s="2329">
        <f t="shared" si="2"/>
        <v>228.08799441119993</v>
      </c>
      <c r="O21" s="2330">
        <f>F21*1.026</f>
        <v>152.99712</v>
      </c>
      <c r="P21" s="2746"/>
      <c r="Q21" s="2336"/>
    </row>
    <row r="22" spans="1:17">
      <c r="A22" s="2332" t="s">
        <v>516</v>
      </c>
      <c r="B22" s="2325" t="s">
        <v>671</v>
      </c>
      <c r="C22" s="2326" t="s">
        <v>383</v>
      </c>
      <c r="D22" s="2334">
        <v>675.84</v>
      </c>
      <c r="E22" s="2335">
        <f>'[8]Себ ГОД'!$ET$282</f>
        <v>577.16</v>
      </c>
      <c r="F22" s="2334">
        <v>0</v>
      </c>
      <c r="G22" s="2328">
        <f t="shared" si="5"/>
        <v>603.1321999999999</v>
      </c>
      <c r="H22" s="2327" t="e">
        <f>#REF!*$H$1</f>
        <v>#REF!</v>
      </c>
      <c r="I22" s="2327" t="e">
        <f t="shared" si="0"/>
        <v>#REF!</v>
      </c>
      <c r="J22" s="2327">
        <f>'[9]Себ 1 полуг'!$FR$282</f>
        <v>364.33</v>
      </c>
      <c r="K22" s="2327">
        <f t="shared" si="3"/>
        <v>728.66</v>
      </c>
      <c r="L22" s="2327">
        <f t="shared" si="4"/>
        <v>761.44969999999989</v>
      </c>
      <c r="M22" s="2327">
        <f t="shared" si="1"/>
        <v>794.19203709999988</v>
      </c>
      <c r="N22" s="2329">
        <f t="shared" si="2"/>
        <v>828.34229469529987</v>
      </c>
      <c r="O22" s="2330">
        <f>K22*1.026</f>
        <v>747.60515999999996</v>
      </c>
      <c r="P22" s="2746"/>
      <c r="Q22" s="2336"/>
    </row>
    <row r="23" spans="1:17" ht="29.25" customHeight="1">
      <c r="A23" s="2324" t="s">
        <v>517</v>
      </c>
      <c r="B23" s="2325" t="s">
        <v>1269</v>
      </c>
      <c r="C23" s="2326" t="s">
        <v>383</v>
      </c>
      <c r="D23" s="2751">
        <v>55.44</v>
      </c>
      <c r="E23" s="2539">
        <f>'[8]Себ ГОД'!$ET$286</f>
        <v>52.173130000000008</v>
      </c>
      <c r="F23" s="2540">
        <v>53.49</v>
      </c>
      <c r="G23" s="2328">
        <f t="shared" si="5"/>
        <v>54.520920850000003</v>
      </c>
      <c r="H23" s="2327" t="e">
        <f>#REF!*$H$1</f>
        <v>#REF!</v>
      </c>
      <c r="I23" s="2327" t="e">
        <f t="shared" si="0"/>
        <v>#REF!</v>
      </c>
      <c r="J23" s="2327">
        <f>'[9]Себ 1 полуг'!$FR$286</f>
        <v>44.984189999999998</v>
      </c>
      <c r="K23" s="2327">
        <f t="shared" si="3"/>
        <v>89.968379999999996</v>
      </c>
      <c r="L23" s="2327">
        <f t="shared" si="4"/>
        <v>94.016957099999985</v>
      </c>
      <c r="M23" s="2327">
        <f t="shared" si="1"/>
        <v>98.05968625529998</v>
      </c>
      <c r="N23" s="2329">
        <f t="shared" si="2"/>
        <v>102.27625276427787</v>
      </c>
      <c r="O23" s="2330">
        <f>K23*1.026</f>
        <v>92.307557880000005</v>
      </c>
      <c r="P23" s="2746"/>
      <c r="Q23" s="2336"/>
    </row>
    <row r="24" spans="1:17">
      <c r="A24" s="2324" t="s">
        <v>633</v>
      </c>
      <c r="B24" s="2325" t="s">
        <v>672</v>
      </c>
      <c r="C24" s="2326" t="s">
        <v>383</v>
      </c>
      <c r="D24" s="2334">
        <v>1666.3789999999999</v>
      </c>
      <c r="E24" s="2335">
        <v>1372.6</v>
      </c>
      <c r="F24" s="2334">
        <v>0</v>
      </c>
      <c r="G24" s="2328">
        <f t="shared" si="5"/>
        <v>1434.3669999999997</v>
      </c>
      <c r="H24" s="2327" t="e">
        <f>#REF!*$H$1</f>
        <v>#REF!</v>
      </c>
      <c r="I24" s="2327" t="e">
        <f t="shared" si="0"/>
        <v>#REF!</v>
      </c>
      <c r="J24" s="2327">
        <v>770.58799999999997</v>
      </c>
      <c r="K24" s="2327">
        <f t="shared" si="3"/>
        <v>1541.1759999999999</v>
      </c>
      <c r="L24" s="2327">
        <f t="shared" si="4"/>
        <v>1610.5289199999997</v>
      </c>
      <c r="M24" s="2327">
        <f t="shared" si="1"/>
        <v>1679.7816635599995</v>
      </c>
      <c r="N24" s="2329">
        <f t="shared" si="2"/>
        <v>1752.0122750930793</v>
      </c>
      <c r="O24" s="2842">
        <v>0</v>
      </c>
      <c r="P24" s="2746"/>
      <c r="Q24" s="2843" t="s">
        <v>1687</v>
      </c>
    </row>
    <row r="25" spans="1:17" ht="30">
      <c r="A25" s="2332" t="s">
        <v>634</v>
      </c>
      <c r="B25" s="2325" t="s">
        <v>673</v>
      </c>
      <c r="C25" s="2326" t="s">
        <v>383</v>
      </c>
      <c r="D25" s="2334">
        <v>237.6</v>
      </c>
      <c r="E25" s="2539">
        <v>50.19</v>
      </c>
      <c r="F25" s="2540">
        <v>130.75</v>
      </c>
      <c r="G25" s="2328">
        <f t="shared" si="5"/>
        <v>52.448549999999997</v>
      </c>
      <c r="H25" s="2327" t="e">
        <f>#REF!*$H$1</f>
        <v>#REF!</v>
      </c>
      <c r="I25" s="2327" t="e">
        <f t="shared" si="0"/>
        <v>#REF!</v>
      </c>
      <c r="J25" s="2327">
        <f>'[9]Себ 1 полуг'!$FR$296</f>
        <v>0</v>
      </c>
      <c r="K25" s="2327">
        <f t="shared" si="3"/>
        <v>0</v>
      </c>
      <c r="L25" s="2327">
        <f t="shared" si="4"/>
        <v>0</v>
      </c>
      <c r="M25" s="2327">
        <f t="shared" si="1"/>
        <v>0</v>
      </c>
      <c r="N25" s="2329">
        <f t="shared" si="2"/>
        <v>0</v>
      </c>
      <c r="O25" s="2330">
        <v>0</v>
      </c>
      <c r="P25" s="2746"/>
      <c r="Q25" s="2336"/>
    </row>
    <row r="26" spans="1:17">
      <c r="A26" s="2324" t="s">
        <v>635</v>
      </c>
      <c r="B26" s="2342" t="s">
        <v>674</v>
      </c>
      <c r="C26" s="2326" t="s">
        <v>383</v>
      </c>
      <c r="D26" s="2334">
        <v>402.2</v>
      </c>
      <c r="E26" s="2335">
        <v>304.72000000000003</v>
      </c>
      <c r="F26" s="2334">
        <v>24.18</v>
      </c>
      <c r="G26" s="2328">
        <f t="shared" si="5"/>
        <v>318.43240000000003</v>
      </c>
      <c r="H26" s="2327" t="e">
        <f>#REF!*$H$1</f>
        <v>#REF!</v>
      </c>
      <c r="I26" s="2327" t="e">
        <f t="shared" si="0"/>
        <v>#REF!</v>
      </c>
      <c r="J26" s="2343">
        <f>'[9]Себ 1 полуг'!$FR$304</f>
        <v>68.104910000000004</v>
      </c>
      <c r="K26" s="2327">
        <f t="shared" si="3"/>
        <v>136.20982000000001</v>
      </c>
      <c r="L26" s="2327">
        <f t="shared" si="4"/>
        <v>142.3392619</v>
      </c>
      <c r="M26" s="2327">
        <f t="shared" si="1"/>
        <v>148.45985016169999</v>
      </c>
      <c r="N26" s="2329">
        <f t="shared" si="2"/>
        <v>154.84362371865308</v>
      </c>
      <c r="O26" s="2842">
        <v>0</v>
      </c>
      <c r="P26" s="2746"/>
      <c r="Q26" s="2843" t="s">
        <v>1712</v>
      </c>
    </row>
    <row r="27" spans="1:17">
      <c r="A27" s="2332" t="s">
        <v>636</v>
      </c>
      <c r="B27" s="2325" t="s">
        <v>675</v>
      </c>
      <c r="C27" s="2326" t="s">
        <v>383</v>
      </c>
      <c r="D27" s="2334">
        <v>721.5</v>
      </c>
      <c r="E27" s="2335">
        <v>0</v>
      </c>
      <c r="F27" s="2334">
        <v>732.2</v>
      </c>
      <c r="G27" s="2328">
        <v>1927.97</v>
      </c>
      <c r="H27" s="2327" t="e">
        <f>#REF!*$H$1</f>
        <v>#REF!</v>
      </c>
      <c r="I27" s="2327" t="e">
        <f t="shared" si="0"/>
        <v>#REF!</v>
      </c>
      <c r="J27" s="2327">
        <f>'[9]Себ 1 полуг'!$FR$306</f>
        <v>171.58343999999997</v>
      </c>
      <c r="K27" s="2327">
        <f t="shared" si="3"/>
        <v>343.16687999999994</v>
      </c>
      <c r="L27" s="2327">
        <f t="shared" si="4"/>
        <v>358.60938959999993</v>
      </c>
      <c r="M27" s="2327">
        <f t="shared" si="1"/>
        <v>374.02959335279991</v>
      </c>
      <c r="N27" s="2329">
        <f t="shared" si="2"/>
        <v>390.11286586697025</v>
      </c>
      <c r="O27" s="2330">
        <f>L27</f>
        <v>358.60938959999993</v>
      </c>
      <c r="P27" s="2746"/>
      <c r="Q27" s="2336"/>
    </row>
    <row r="28" spans="1:17">
      <c r="A28" s="2324" t="s">
        <v>637</v>
      </c>
      <c r="B28" s="2325" t="s">
        <v>676</v>
      </c>
      <c r="C28" s="2326" t="s">
        <v>383</v>
      </c>
      <c r="D28" s="2334">
        <v>18.504999999999999</v>
      </c>
      <c r="E28" s="2335">
        <f>'[8]Себ ГОД'!$ET$320</f>
        <v>37.772300000000001</v>
      </c>
      <c r="F28" s="2334">
        <v>63.81</v>
      </c>
      <c r="G28" s="2328">
        <f t="shared" si="5"/>
        <v>39.472053500000001</v>
      </c>
      <c r="H28" s="2327" t="e">
        <f>#REF!*$H$1</f>
        <v>#REF!</v>
      </c>
      <c r="I28" s="2327" t="e">
        <f t="shared" si="0"/>
        <v>#REF!</v>
      </c>
      <c r="J28" s="2327">
        <f>'[9]Себ 1 полуг'!$FR$320</f>
        <v>1.6989799999999999</v>
      </c>
      <c r="K28" s="2327">
        <f t="shared" si="3"/>
        <v>3.3979599999999999</v>
      </c>
      <c r="L28" s="2327">
        <f t="shared" si="4"/>
        <v>3.5508681999999996</v>
      </c>
      <c r="M28" s="2327">
        <f t="shared" si="1"/>
        <v>3.7035555325999994</v>
      </c>
      <c r="N28" s="2329">
        <f t="shared" si="2"/>
        <v>3.862808420501799</v>
      </c>
      <c r="O28" s="2330">
        <f>L28</f>
        <v>3.5508681999999996</v>
      </c>
      <c r="P28" s="2746"/>
      <c r="Q28" s="2336"/>
    </row>
    <row r="29" spans="1:17" ht="30">
      <c r="A29" s="2332" t="s">
        <v>638</v>
      </c>
      <c r="B29" s="2325" t="s">
        <v>677</v>
      </c>
      <c r="C29" s="2326" t="s">
        <v>383</v>
      </c>
      <c r="D29" s="2334">
        <v>2102</v>
      </c>
      <c r="E29" s="2539">
        <v>1251.8</v>
      </c>
      <c r="F29" s="2540">
        <v>64</v>
      </c>
      <c r="G29" s="2328">
        <f t="shared" si="5"/>
        <v>1308.1309999999999</v>
      </c>
      <c r="H29" s="2327" t="e">
        <f>#REF!*$H$1</f>
        <v>#REF!</v>
      </c>
      <c r="I29" s="2327" t="e">
        <f t="shared" si="0"/>
        <v>#REF!</v>
      </c>
      <c r="J29" s="2327">
        <f>'[9]Себ 1 полуг'!$FR$326</f>
        <v>28.497</v>
      </c>
      <c r="K29" s="2327">
        <f t="shared" si="3"/>
        <v>56.994</v>
      </c>
      <c r="L29" s="2327">
        <f t="shared" si="4"/>
        <v>59.558729999999997</v>
      </c>
      <c r="M29" s="2327">
        <f t="shared" si="1"/>
        <v>62.119755389999995</v>
      </c>
      <c r="N29" s="2329">
        <f t="shared" si="2"/>
        <v>64.790904871769996</v>
      </c>
      <c r="O29" s="2330">
        <f>L29</f>
        <v>59.558729999999997</v>
      </c>
      <c r="P29" s="2746"/>
      <c r="Q29" s="2336"/>
    </row>
    <row r="30" spans="1:17">
      <c r="A30" s="2324" t="s">
        <v>639</v>
      </c>
      <c r="B30" s="2325" t="s">
        <v>678</v>
      </c>
      <c r="C30" s="2326" t="s">
        <v>383</v>
      </c>
      <c r="D30" s="2334">
        <v>150.30500000000001</v>
      </c>
      <c r="E30" s="2335">
        <f>'[8]Себ ГОД'!$ET$328</f>
        <v>639.86820999999998</v>
      </c>
      <c r="F30" s="2334">
        <v>621.32000000000005</v>
      </c>
      <c r="G30" s="2328">
        <f t="shared" si="5"/>
        <v>668.66227944999991</v>
      </c>
      <c r="H30" s="2327" t="e">
        <f>#REF!*$H$1</f>
        <v>#REF!</v>
      </c>
      <c r="I30" s="2327" t="e">
        <f t="shared" si="0"/>
        <v>#REF!</v>
      </c>
      <c r="J30" s="2327">
        <f>'[9]Себ 1 полуг'!$FR$328</f>
        <v>382.38862999999998</v>
      </c>
      <c r="K30" s="2327">
        <f t="shared" si="3"/>
        <v>764.77725999999996</v>
      </c>
      <c r="L30" s="2327">
        <f t="shared" si="4"/>
        <v>799.19223669999985</v>
      </c>
      <c r="M30" s="2327">
        <f t="shared" si="1"/>
        <v>833.55750287809974</v>
      </c>
      <c r="N30" s="2329">
        <f t="shared" si="2"/>
        <v>869.40047550185795</v>
      </c>
      <c r="O30" s="2842">
        <v>0</v>
      </c>
      <c r="P30" s="2746"/>
      <c r="Q30" s="2843" t="s">
        <v>1711</v>
      </c>
    </row>
    <row r="31" spans="1:17">
      <c r="A31" s="2324" t="s">
        <v>640</v>
      </c>
      <c r="B31" s="2325" t="s">
        <v>679</v>
      </c>
      <c r="C31" s="2326" t="s">
        <v>383</v>
      </c>
      <c r="D31" s="2334">
        <v>275.125</v>
      </c>
      <c r="E31" s="2335">
        <f>'[8]Себ ГОД'!$ET$330</f>
        <v>0</v>
      </c>
      <c r="F31" s="2334">
        <v>0</v>
      </c>
      <c r="G31" s="2328">
        <f t="shared" si="5"/>
        <v>0</v>
      </c>
      <c r="H31" s="2327" t="e">
        <f>#REF!*$H$1</f>
        <v>#REF!</v>
      </c>
      <c r="I31" s="2327" t="e">
        <f t="shared" si="0"/>
        <v>#REF!</v>
      </c>
      <c r="J31" s="2327">
        <f>'[9]Себ 1 полуг'!$FR$330</f>
        <v>0</v>
      </c>
      <c r="K31" s="2327">
        <f t="shared" si="3"/>
        <v>0</v>
      </c>
      <c r="L31" s="2327">
        <f t="shared" si="4"/>
        <v>0</v>
      </c>
      <c r="M31" s="2327">
        <f t="shared" si="1"/>
        <v>0</v>
      </c>
      <c r="N31" s="2329">
        <f t="shared" si="2"/>
        <v>0</v>
      </c>
      <c r="O31" s="2330">
        <f>L31</f>
        <v>0</v>
      </c>
      <c r="P31" s="2746"/>
      <c r="Q31" s="2336"/>
    </row>
    <row r="32" spans="1:17">
      <c r="A32" s="2332" t="s">
        <v>641</v>
      </c>
      <c r="B32" s="2325" t="s">
        <v>680</v>
      </c>
      <c r="C32" s="2326" t="s">
        <v>383</v>
      </c>
      <c r="D32" s="2334">
        <v>113.61</v>
      </c>
      <c r="E32" s="2335">
        <v>2428.9699999999998</v>
      </c>
      <c r="F32" s="2334">
        <v>118.3</v>
      </c>
      <c r="G32" s="2328">
        <f t="shared" si="5"/>
        <v>2538.2736499999996</v>
      </c>
      <c r="H32" s="2327" t="e">
        <f>#REF!*$H$1</f>
        <v>#REF!</v>
      </c>
      <c r="I32" s="2327" t="e">
        <f t="shared" si="0"/>
        <v>#REF!</v>
      </c>
      <c r="J32" s="2327">
        <v>1451.1</v>
      </c>
      <c r="K32" s="2327">
        <f t="shared" si="3"/>
        <v>2902.2</v>
      </c>
      <c r="L32" s="2327">
        <f t="shared" si="4"/>
        <v>3032.7989999999995</v>
      </c>
      <c r="M32" s="2327">
        <f t="shared" si="1"/>
        <v>3163.2093569999993</v>
      </c>
      <c r="N32" s="2329">
        <f t="shared" si="2"/>
        <v>3299.227359350999</v>
      </c>
      <c r="O32" s="2842">
        <v>0</v>
      </c>
      <c r="P32" s="2746"/>
      <c r="Q32" s="2843" t="s">
        <v>1710</v>
      </c>
    </row>
    <row r="33" spans="1:17">
      <c r="A33" s="2324" t="s">
        <v>642</v>
      </c>
      <c r="B33" s="2325" t="s">
        <v>681</v>
      </c>
      <c r="C33" s="2326" t="s">
        <v>383</v>
      </c>
      <c r="D33" s="2334">
        <v>1920</v>
      </c>
      <c r="E33" s="2335">
        <f>'[8]Себ ГОД'!$ET$335</f>
        <v>21.25</v>
      </c>
      <c r="F33" s="2334">
        <v>0</v>
      </c>
      <c r="G33" s="2328">
        <f t="shared" si="5"/>
        <v>22.206249999999997</v>
      </c>
      <c r="H33" s="2327" t="e">
        <f>#REF!*$H$1</f>
        <v>#REF!</v>
      </c>
      <c r="I33" s="2327" t="e">
        <f t="shared" si="0"/>
        <v>#REF!</v>
      </c>
      <c r="J33" s="2327">
        <f>'[9]Себ 1 полуг'!$FR$335+'[9]Себ 1 полуг'!$FR$336</f>
        <v>0</v>
      </c>
      <c r="K33" s="2327">
        <f t="shared" si="3"/>
        <v>0</v>
      </c>
      <c r="L33" s="2327">
        <f t="shared" si="4"/>
        <v>0</v>
      </c>
      <c r="M33" s="2327">
        <f t="shared" si="1"/>
        <v>0</v>
      </c>
      <c r="N33" s="2329">
        <f t="shared" si="2"/>
        <v>0</v>
      </c>
      <c r="O33" s="2330">
        <f>L33</f>
        <v>0</v>
      </c>
      <c r="P33" s="2746"/>
      <c r="Q33" s="2336"/>
    </row>
    <row r="34" spans="1:17">
      <c r="A34" s="2324" t="s">
        <v>643</v>
      </c>
      <c r="B34" s="2344" t="s">
        <v>682</v>
      </c>
      <c r="C34" s="2345" t="s">
        <v>383</v>
      </c>
      <c r="D34" s="2334">
        <v>963.40800000000002</v>
      </c>
      <c r="E34" s="2335">
        <f>'[8]Себ ГОД'!$ET$345</f>
        <v>54.9</v>
      </c>
      <c r="F34" s="2334">
        <v>36</v>
      </c>
      <c r="G34" s="2328">
        <f t="shared" si="5"/>
        <v>57.370499999999993</v>
      </c>
      <c r="H34" s="2327" t="e">
        <f>#REF!*$H$1</f>
        <v>#REF!</v>
      </c>
      <c r="I34" s="2327" t="e">
        <f t="shared" si="0"/>
        <v>#REF!</v>
      </c>
      <c r="J34" s="2327">
        <v>93.4</v>
      </c>
      <c r="K34" s="2327">
        <f t="shared" si="3"/>
        <v>186.8</v>
      </c>
      <c r="L34" s="2327">
        <f t="shared" si="4"/>
        <v>195.20599999999999</v>
      </c>
      <c r="M34" s="2327">
        <f t="shared" si="1"/>
        <v>203.59985799999998</v>
      </c>
      <c r="N34" s="2329">
        <f t="shared" si="2"/>
        <v>212.35465189399997</v>
      </c>
      <c r="O34" s="2330">
        <v>0</v>
      </c>
      <c r="P34" s="2746"/>
      <c r="Q34" s="2750" t="s">
        <v>1071</v>
      </c>
    </row>
    <row r="35" spans="1:17">
      <c r="A35" s="2324" t="s">
        <v>644</v>
      </c>
      <c r="B35" s="2325" t="s">
        <v>683</v>
      </c>
      <c r="C35" s="2326" t="s">
        <v>383</v>
      </c>
      <c r="D35" s="2334">
        <v>600</v>
      </c>
      <c r="E35" s="2335">
        <f>'[8]Себ ГОД'!$ET$348</f>
        <v>12.841389999999999</v>
      </c>
      <c r="F35" s="2334">
        <v>0</v>
      </c>
      <c r="G35" s="2328">
        <f t="shared" si="5"/>
        <v>13.419252549999998</v>
      </c>
      <c r="H35" s="2327" t="e">
        <f>#REF!*$H$1</f>
        <v>#REF!</v>
      </c>
      <c r="I35" s="2327" t="e">
        <f t="shared" si="0"/>
        <v>#REF!</v>
      </c>
      <c r="J35" s="2327">
        <f>'[9]Себ 1 полуг'!$FR$348</f>
        <v>10.097290000000001</v>
      </c>
      <c r="K35" s="2327">
        <f t="shared" si="3"/>
        <v>20.194580000000002</v>
      </c>
      <c r="L35" s="2327">
        <f t="shared" si="4"/>
        <v>21.1033361</v>
      </c>
      <c r="M35" s="2327">
        <f t="shared" si="1"/>
        <v>22.010779552299997</v>
      </c>
      <c r="N35" s="2329">
        <f t="shared" si="2"/>
        <v>22.957243073048897</v>
      </c>
      <c r="O35" s="2330">
        <v>0</v>
      </c>
      <c r="P35" s="2746"/>
      <c r="Q35" s="2336" t="s">
        <v>1071</v>
      </c>
    </row>
    <row r="36" spans="1:17">
      <c r="A36" s="2324" t="s">
        <v>645</v>
      </c>
      <c r="B36" s="2344" t="s">
        <v>684</v>
      </c>
      <c r="C36" s="2345" t="s">
        <v>383</v>
      </c>
      <c r="D36" s="2334">
        <v>692</v>
      </c>
      <c r="E36" s="2335">
        <f>'[8]Себ ГОД'!$ET$355+'[8]Себ ГОД'!$ET$356+'[8]Себ ГОД'!$ET$357</f>
        <v>29.857400000000002</v>
      </c>
      <c r="F36" s="2334">
        <v>0</v>
      </c>
      <c r="G36" s="2328">
        <f t="shared" si="5"/>
        <v>31.200983000000001</v>
      </c>
      <c r="H36" s="2327" t="e">
        <f>#REF!*$H$1</f>
        <v>#REF!</v>
      </c>
      <c r="I36" s="2327" t="e">
        <f t="shared" si="0"/>
        <v>#REF!</v>
      </c>
      <c r="J36" s="2327">
        <f>'[9]Себ 1 полуг'!$FR$355+'[9]Себ 1 полуг'!$FR$356</f>
        <v>38.700000000000003</v>
      </c>
      <c r="K36" s="2327">
        <f t="shared" si="3"/>
        <v>77.400000000000006</v>
      </c>
      <c r="L36" s="2327">
        <f t="shared" si="4"/>
        <v>80.882999999999996</v>
      </c>
      <c r="M36" s="2327">
        <f t="shared" si="1"/>
        <v>84.360968999999983</v>
      </c>
      <c r="N36" s="2329">
        <f t="shared" si="2"/>
        <v>87.988490666999979</v>
      </c>
      <c r="O36" s="2330">
        <v>0</v>
      </c>
      <c r="P36" s="2746"/>
      <c r="Q36" s="2336" t="s">
        <v>1071</v>
      </c>
    </row>
    <row r="37" spans="1:17">
      <c r="A37" s="2332" t="s">
        <v>646</v>
      </c>
      <c r="B37" s="2325" t="s">
        <v>73</v>
      </c>
      <c r="C37" s="2326" t="s">
        <v>383</v>
      </c>
      <c r="D37" s="2334">
        <v>651.97500000000002</v>
      </c>
      <c r="E37" s="2335">
        <f>'[8]Себ ГОД'!$ET$358</f>
        <v>0</v>
      </c>
      <c r="F37" s="2334">
        <v>0</v>
      </c>
      <c r="G37" s="2328">
        <f t="shared" si="5"/>
        <v>0</v>
      </c>
      <c r="H37" s="2327" t="e">
        <f>#REF!*$H$1</f>
        <v>#REF!</v>
      </c>
      <c r="I37" s="2327" t="e">
        <f t="shared" si="0"/>
        <v>#REF!</v>
      </c>
      <c r="J37" s="2327">
        <f>'[9]Себ 1 полуг'!$FR$358</f>
        <v>0</v>
      </c>
      <c r="K37" s="2327">
        <f t="shared" si="3"/>
        <v>0</v>
      </c>
      <c r="L37" s="2327">
        <f t="shared" si="4"/>
        <v>0</v>
      </c>
      <c r="M37" s="2327">
        <f t="shared" si="1"/>
        <v>0</v>
      </c>
      <c r="N37" s="2329">
        <f t="shared" si="2"/>
        <v>0</v>
      </c>
      <c r="O37" s="2330">
        <v>0</v>
      </c>
      <c r="P37" s="2746"/>
      <c r="Q37" s="2336"/>
    </row>
    <row r="38" spans="1:17">
      <c r="A38" s="2346" t="s">
        <v>647</v>
      </c>
      <c r="B38" s="2344" t="s">
        <v>685</v>
      </c>
      <c r="C38" s="2345" t="s">
        <v>383</v>
      </c>
      <c r="D38" s="2334">
        <v>1434.93</v>
      </c>
      <c r="E38" s="2335">
        <v>0</v>
      </c>
      <c r="F38" s="2334">
        <v>0</v>
      </c>
      <c r="G38" s="2328">
        <f t="shared" si="5"/>
        <v>0</v>
      </c>
      <c r="H38" s="2327" t="e">
        <f>#REF!*$H$1</f>
        <v>#REF!</v>
      </c>
      <c r="I38" s="2327" t="e">
        <f t="shared" si="0"/>
        <v>#REF!</v>
      </c>
      <c r="J38" s="2327">
        <v>0</v>
      </c>
      <c r="K38" s="2327">
        <f t="shared" si="3"/>
        <v>0</v>
      </c>
      <c r="L38" s="2327">
        <f t="shared" si="4"/>
        <v>0</v>
      </c>
      <c r="M38" s="2327">
        <f t="shared" si="1"/>
        <v>0</v>
      </c>
      <c r="N38" s="2329">
        <f t="shared" si="2"/>
        <v>0</v>
      </c>
      <c r="O38" s="2330">
        <v>0</v>
      </c>
      <c r="P38" s="2746"/>
      <c r="Q38" s="2336"/>
    </row>
    <row r="39" spans="1:17">
      <c r="A39" s="2324" t="s">
        <v>648</v>
      </c>
      <c r="B39" s="2325" t="s">
        <v>686</v>
      </c>
      <c r="C39" s="2326" t="s">
        <v>383</v>
      </c>
      <c r="D39" s="2334">
        <v>0</v>
      </c>
      <c r="E39" s="2335">
        <f>'[8]Себ ГОД'!$ET$230</f>
        <v>12.735470000000001</v>
      </c>
      <c r="F39" s="2334">
        <v>0</v>
      </c>
      <c r="G39" s="2328">
        <f t="shared" si="5"/>
        <v>13.308566150000001</v>
      </c>
      <c r="H39" s="2327" t="e">
        <f>#REF!*$H$1</f>
        <v>#REF!</v>
      </c>
      <c r="I39" s="2327" t="e">
        <f t="shared" si="0"/>
        <v>#REF!</v>
      </c>
      <c r="J39" s="2327">
        <f>'[9]Себ 1 полуг'!$FR$230</f>
        <v>36.764949999999999</v>
      </c>
      <c r="K39" s="2327">
        <f t="shared" si="3"/>
        <v>73.529899999999998</v>
      </c>
      <c r="L39" s="2327">
        <f t="shared" si="4"/>
        <v>76.838745499999987</v>
      </c>
      <c r="M39" s="2327">
        <f t="shared" si="1"/>
        <v>80.142811556499979</v>
      </c>
      <c r="N39" s="2329">
        <f t="shared" si="2"/>
        <v>83.588952453429471</v>
      </c>
      <c r="O39" s="2330">
        <v>0</v>
      </c>
      <c r="P39" s="2746"/>
      <c r="Q39" s="2336"/>
    </row>
    <row r="40" spans="1:17">
      <c r="A40" s="2332" t="s">
        <v>649</v>
      </c>
      <c r="B40" s="2325" t="s">
        <v>687</v>
      </c>
      <c r="C40" s="2326" t="s">
        <v>383</v>
      </c>
      <c r="D40" s="2334">
        <v>0</v>
      </c>
      <c r="E40" s="2335">
        <f>'[8]Себ ГОД'!$ET$264</f>
        <v>211.34927000000002</v>
      </c>
      <c r="F40" s="2334">
        <v>274.8</v>
      </c>
      <c r="G40" s="2328">
        <f t="shared" si="5"/>
        <v>220.85998714999999</v>
      </c>
      <c r="H40" s="2327" t="e">
        <f>#REF!*$H$1</f>
        <v>#REF!</v>
      </c>
      <c r="I40" s="2327" t="e">
        <f t="shared" si="0"/>
        <v>#REF!</v>
      </c>
      <c r="J40" s="2327">
        <f>'[9]Себ 1 полуг'!$FR$264</f>
        <v>95.024239999999992</v>
      </c>
      <c r="K40" s="2327">
        <f t="shared" si="3"/>
        <v>190.04847999999998</v>
      </c>
      <c r="L40" s="2327">
        <f t="shared" si="4"/>
        <v>198.60066159999997</v>
      </c>
      <c r="M40" s="2327">
        <f t="shared" si="1"/>
        <v>207.14049004879996</v>
      </c>
      <c r="N40" s="2329">
        <f t="shared" si="2"/>
        <v>216.04753112089836</v>
      </c>
      <c r="O40" s="2330">
        <f>L40</f>
        <v>198.60066159999997</v>
      </c>
      <c r="P40" s="2746"/>
      <c r="Q40" s="2336" t="s">
        <v>1062</v>
      </c>
    </row>
    <row r="41" spans="1:17" ht="30">
      <c r="A41" s="2324" t="s">
        <v>650</v>
      </c>
      <c r="B41" s="2325" t="s">
        <v>121</v>
      </c>
      <c r="C41" s="2326" t="s">
        <v>383</v>
      </c>
      <c r="D41" s="2334">
        <v>0</v>
      </c>
      <c r="E41" s="2335">
        <f>'[8]Себ ГОД'!$ET$265</f>
        <v>3.6474600000000001</v>
      </c>
      <c r="F41" s="2334">
        <v>3.77</v>
      </c>
      <c r="G41" s="2328">
        <f t="shared" si="5"/>
        <v>3.8115956999999998</v>
      </c>
      <c r="H41" s="2327" t="e">
        <f>#REF!*$H$1</f>
        <v>#REF!</v>
      </c>
      <c r="I41" s="2327" t="e">
        <f t="shared" si="0"/>
        <v>#REF!</v>
      </c>
      <c r="J41" s="2327">
        <v>0.7</v>
      </c>
      <c r="K41" s="2327">
        <f t="shared" si="3"/>
        <v>1.4</v>
      </c>
      <c r="L41" s="2327">
        <f t="shared" si="4"/>
        <v>1.4629999999999999</v>
      </c>
      <c r="M41" s="2327">
        <f t="shared" si="1"/>
        <v>1.5259089999999997</v>
      </c>
      <c r="N41" s="2329">
        <f t="shared" si="2"/>
        <v>1.5915230869999997</v>
      </c>
      <c r="O41" s="2330">
        <f>L41</f>
        <v>1.4629999999999999</v>
      </c>
      <c r="P41" s="2746"/>
      <c r="Q41" s="2336"/>
    </row>
    <row r="42" spans="1:17" ht="30">
      <c r="A42" s="2332" t="s">
        <v>651</v>
      </c>
      <c r="B42" s="2325" t="s">
        <v>688</v>
      </c>
      <c r="C42" s="2326" t="s">
        <v>383</v>
      </c>
      <c r="D42" s="2334">
        <v>1391</v>
      </c>
      <c r="E42" s="2335">
        <v>495.5</v>
      </c>
      <c r="F42" s="2334">
        <v>0</v>
      </c>
      <c r="G42" s="2328">
        <f t="shared" si="5"/>
        <v>517.79750000000001</v>
      </c>
      <c r="H42" s="2327" t="e">
        <f>#REF!*$H$1</f>
        <v>#REF!</v>
      </c>
      <c r="I42" s="2327" t="e">
        <f t="shared" si="0"/>
        <v>#REF!</v>
      </c>
      <c r="J42" s="2327">
        <f>514-351</f>
        <v>163</v>
      </c>
      <c r="K42" s="2327">
        <f t="shared" si="3"/>
        <v>326</v>
      </c>
      <c r="L42" s="2327">
        <f t="shared" si="4"/>
        <v>340.66999999999996</v>
      </c>
      <c r="M42" s="2327">
        <f t="shared" si="1"/>
        <v>355.31880999999993</v>
      </c>
      <c r="N42" s="2329">
        <f t="shared" si="2"/>
        <v>370.5975188299999</v>
      </c>
      <c r="O42" s="2330">
        <v>0</v>
      </c>
      <c r="P42" s="2746"/>
      <c r="Q42" s="2336" t="s">
        <v>1071</v>
      </c>
    </row>
    <row r="43" spans="1:17">
      <c r="A43" s="2324" t="s">
        <v>652</v>
      </c>
      <c r="B43" s="2325" t="s">
        <v>689</v>
      </c>
      <c r="C43" s="2326" t="s">
        <v>383</v>
      </c>
      <c r="D43" s="2334">
        <v>868.92</v>
      </c>
      <c r="E43" s="2335">
        <f>'[8]Себ ГОД'!$ET$290</f>
        <v>7.6559999999999997</v>
      </c>
      <c r="F43" s="2334">
        <v>0</v>
      </c>
      <c r="G43" s="2328">
        <f t="shared" si="5"/>
        <v>8.0005199999999999</v>
      </c>
      <c r="H43" s="2327" t="e">
        <f>#REF!*$H$1</f>
        <v>#REF!</v>
      </c>
      <c r="I43" s="2327" t="e">
        <f t="shared" si="0"/>
        <v>#REF!</v>
      </c>
      <c r="J43" s="2327">
        <f>'[9]Себ 1 полуг'!$FR$290</f>
        <v>35.777000000000001</v>
      </c>
      <c r="K43" s="2327">
        <f t="shared" si="3"/>
        <v>71.554000000000002</v>
      </c>
      <c r="L43" s="2327">
        <f t="shared" si="4"/>
        <v>74.773929999999993</v>
      </c>
      <c r="M43" s="2327">
        <f t="shared" si="1"/>
        <v>77.98920898999998</v>
      </c>
      <c r="N43" s="2329">
        <f t="shared" si="2"/>
        <v>81.342744976569975</v>
      </c>
      <c r="O43" s="2330">
        <v>0</v>
      </c>
      <c r="P43" s="2746"/>
      <c r="Q43" s="2336" t="s">
        <v>1071</v>
      </c>
    </row>
    <row r="44" spans="1:17">
      <c r="A44" s="2376" t="s">
        <v>653</v>
      </c>
      <c r="B44" s="2377" t="s">
        <v>1686</v>
      </c>
      <c r="C44" s="2326" t="s">
        <v>383</v>
      </c>
      <c r="D44" s="2334">
        <f>D26</f>
        <v>402.2</v>
      </c>
      <c r="E44" s="2335">
        <f>577.627+323.48</f>
        <v>901.10699999999997</v>
      </c>
      <c r="F44" s="2334">
        <f>F26</f>
        <v>24.18</v>
      </c>
      <c r="G44" s="2328"/>
      <c r="H44" s="2327"/>
      <c r="I44" s="2327"/>
      <c r="J44" s="2343">
        <f>68.1+373.88</f>
        <v>441.98</v>
      </c>
      <c r="K44" s="2327">
        <v>756.36</v>
      </c>
      <c r="L44" s="2327">
        <v>933.16</v>
      </c>
      <c r="M44" s="2327">
        <v>1111.4739999999999</v>
      </c>
      <c r="N44" s="2752">
        <v>1031.329</v>
      </c>
      <c r="O44" s="2330">
        <v>990</v>
      </c>
      <c r="P44" s="2746"/>
      <c r="Q44" s="2753"/>
    </row>
    <row r="45" spans="1:17" hidden="1">
      <c r="A45" s="2324" t="s">
        <v>1505</v>
      </c>
      <c r="B45" s="2325"/>
      <c r="C45" s="2326" t="s">
        <v>383</v>
      </c>
      <c r="D45" s="2334"/>
      <c r="E45" s="2335"/>
      <c r="F45" s="2334"/>
      <c r="G45" s="2328"/>
      <c r="H45" s="2327"/>
      <c r="I45" s="2327"/>
      <c r="J45" s="2327"/>
      <c r="K45" s="2327"/>
      <c r="L45" s="2327"/>
      <c r="M45" s="2327"/>
      <c r="N45" s="2329"/>
      <c r="O45" s="2330"/>
      <c r="P45" s="2746"/>
      <c r="Q45" s="2336"/>
    </row>
    <row r="46" spans="1:17">
      <c r="A46" s="2324" t="s">
        <v>654</v>
      </c>
      <c r="B46" s="2325" t="s">
        <v>690</v>
      </c>
      <c r="C46" s="2326" t="s">
        <v>383</v>
      </c>
      <c r="D46" s="2334">
        <v>191</v>
      </c>
      <c r="E46" s="2335">
        <f>'[8]Себ ГОД'!$ET$324</f>
        <v>7.3</v>
      </c>
      <c r="F46" s="2334">
        <v>5.44</v>
      </c>
      <c r="G46" s="2328">
        <f t="shared" si="5"/>
        <v>7.6284999999999989</v>
      </c>
      <c r="H46" s="2327" t="e">
        <f>#REF!*$H$1</f>
        <v>#REF!</v>
      </c>
      <c r="I46" s="2327" t="e">
        <f t="shared" si="0"/>
        <v>#REF!</v>
      </c>
      <c r="J46" s="2327">
        <f>'[9]Себ 1 полуг'!$FR$324</f>
        <v>8.0088999999999988</v>
      </c>
      <c r="K46" s="2327">
        <f t="shared" si="3"/>
        <v>16.017799999999998</v>
      </c>
      <c r="L46" s="2327">
        <f t="shared" si="4"/>
        <v>16.738600999999996</v>
      </c>
      <c r="M46" s="2327">
        <f t="shared" si="1"/>
        <v>17.458360842999994</v>
      </c>
      <c r="N46" s="2329">
        <f t="shared" si="2"/>
        <v>18.209070359248994</v>
      </c>
      <c r="O46" s="2330">
        <f>F46*1.026</f>
        <v>5.5814400000000006</v>
      </c>
      <c r="P46" s="2746"/>
      <c r="Q46" s="2336"/>
    </row>
    <row r="47" spans="1:17">
      <c r="A47" s="2376" t="s">
        <v>655</v>
      </c>
      <c r="B47" s="2375" t="s">
        <v>1506</v>
      </c>
      <c r="C47" s="2326" t="s">
        <v>383</v>
      </c>
      <c r="D47" s="2334"/>
      <c r="E47" s="2335"/>
      <c r="F47" s="2334"/>
      <c r="G47" s="2328"/>
      <c r="H47" s="2327"/>
      <c r="I47" s="2327"/>
      <c r="J47" s="2327">
        <v>21.1</v>
      </c>
      <c r="K47" s="2327">
        <v>79.900000000000006</v>
      </c>
      <c r="L47" s="2327">
        <v>122.892</v>
      </c>
      <c r="M47" s="2327">
        <v>128.17599999999999</v>
      </c>
      <c r="N47" s="2329">
        <v>133.68799999999999</v>
      </c>
      <c r="O47" s="2330">
        <f>K47*1.026</f>
        <v>81.977400000000003</v>
      </c>
      <c r="P47" s="2746"/>
      <c r="Q47" s="2336"/>
    </row>
    <row r="48" spans="1:17">
      <c r="A48" s="2324" t="s">
        <v>656</v>
      </c>
      <c r="B48" s="2375" t="s">
        <v>1507</v>
      </c>
      <c r="C48" s="2326" t="s">
        <v>383</v>
      </c>
      <c r="D48" s="2334"/>
      <c r="E48" s="2335"/>
      <c r="F48" s="2334"/>
      <c r="G48" s="2328"/>
      <c r="H48" s="2327"/>
      <c r="I48" s="2327"/>
      <c r="J48" s="2327">
        <v>19.54</v>
      </c>
      <c r="K48" s="2327">
        <v>121.072</v>
      </c>
      <c r="L48" s="2327">
        <v>349.59500000000003</v>
      </c>
      <c r="M48" s="2327">
        <v>351.64299999999997</v>
      </c>
      <c r="N48" s="2329">
        <v>353.779</v>
      </c>
      <c r="O48" s="2330">
        <f>K48*1.026</f>
        <v>124.21987200000001</v>
      </c>
      <c r="P48" s="2746"/>
      <c r="Q48" s="2336"/>
    </row>
    <row r="49" spans="1:18">
      <c r="A49" s="2324" t="s">
        <v>657</v>
      </c>
      <c r="B49" s="2325" t="s">
        <v>691</v>
      </c>
      <c r="C49" s="2326" t="s">
        <v>383</v>
      </c>
      <c r="D49" s="2334">
        <v>0</v>
      </c>
      <c r="E49" s="2335">
        <v>4.4320199999999996</v>
      </c>
      <c r="F49" s="2334">
        <v>4.5999999999999996</v>
      </c>
      <c r="G49" s="2328">
        <f t="shared" si="5"/>
        <v>4.6314608999999995</v>
      </c>
      <c r="H49" s="2327" t="e">
        <f>#REF!*$H$1</f>
        <v>#REF!</v>
      </c>
      <c r="I49" s="2327" t="e">
        <f t="shared" si="0"/>
        <v>#REF!</v>
      </c>
      <c r="J49" s="2327">
        <f>'[9]Себ 1 полуг'!$FR$354</f>
        <v>1.76589</v>
      </c>
      <c r="K49" s="2327">
        <f t="shared" si="3"/>
        <v>3.5317799999999999</v>
      </c>
      <c r="L49" s="2327">
        <f t="shared" si="4"/>
        <v>3.6907100999999995</v>
      </c>
      <c r="M49" s="2327">
        <f t="shared" si="1"/>
        <v>3.8494106342999994</v>
      </c>
      <c r="N49" s="2329">
        <f t="shared" si="2"/>
        <v>4.0149352915748988</v>
      </c>
      <c r="O49" s="2330">
        <f>L49</f>
        <v>3.6907100999999995</v>
      </c>
      <c r="P49" s="2746"/>
      <c r="Q49" s="2336"/>
    </row>
    <row r="50" spans="1:18">
      <c r="A50" s="2376" t="s">
        <v>658</v>
      </c>
      <c r="B50" s="2325" t="s">
        <v>692</v>
      </c>
      <c r="C50" s="2326" t="s">
        <v>383</v>
      </c>
      <c r="D50" s="2334">
        <v>486</v>
      </c>
      <c r="E50" s="2335">
        <f>'[8]Себ ГОД'!$ET$362</f>
        <v>3.34</v>
      </c>
      <c r="F50" s="2334">
        <v>0</v>
      </c>
      <c r="G50" s="2328">
        <f t="shared" si="5"/>
        <v>3.4902999999999995</v>
      </c>
      <c r="H50" s="2327" t="e">
        <f>#REF!*$H$1</f>
        <v>#REF!</v>
      </c>
      <c r="I50" s="2327" t="e">
        <f t="shared" si="0"/>
        <v>#REF!</v>
      </c>
      <c r="J50" s="2327">
        <v>32.6</v>
      </c>
      <c r="K50" s="2327">
        <f t="shared" si="3"/>
        <v>65.2</v>
      </c>
      <c r="L50" s="2327">
        <f t="shared" si="4"/>
        <v>68.134</v>
      </c>
      <c r="M50" s="2327">
        <f t="shared" si="1"/>
        <v>71.063761999999997</v>
      </c>
      <c r="N50" s="2329">
        <f t="shared" si="2"/>
        <v>74.119503765999994</v>
      </c>
      <c r="O50" s="2330">
        <v>0</v>
      </c>
      <c r="P50" s="2746"/>
      <c r="Q50" s="2336"/>
    </row>
    <row r="51" spans="1:18" hidden="1">
      <c r="A51" s="2324" t="s">
        <v>656</v>
      </c>
      <c r="B51" s="2325" t="s">
        <v>693</v>
      </c>
      <c r="C51" s="2326" t="s">
        <v>383</v>
      </c>
      <c r="D51" s="2334"/>
      <c r="E51" s="2335">
        <f>'[8]Себ ГОД'!$ET$36</f>
        <v>0</v>
      </c>
      <c r="F51" s="2334">
        <v>0</v>
      </c>
      <c r="G51" s="2328">
        <f t="shared" si="5"/>
        <v>0</v>
      </c>
      <c r="H51" s="2327" t="e">
        <f>#REF!*$H$1</f>
        <v>#REF!</v>
      </c>
      <c r="I51" s="2327" t="e">
        <f t="shared" si="0"/>
        <v>#REF!</v>
      </c>
      <c r="J51" s="2327"/>
      <c r="K51" s="2327">
        <f t="shared" si="3"/>
        <v>0</v>
      </c>
      <c r="L51" s="2327">
        <f t="shared" ref="L51:L56" si="6">G51*1.045</f>
        <v>0</v>
      </c>
      <c r="M51" s="2327">
        <f t="shared" si="1"/>
        <v>0</v>
      </c>
      <c r="N51" s="2329">
        <f t="shared" si="2"/>
        <v>0</v>
      </c>
      <c r="O51" s="2330"/>
      <c r="P51" s="2746"/>
      <c r="Q51" s="2336"/>
    </row>
    <row r="52" spans="1:18" ht="30" hidden="1">
      <c r="A52" s="2324" t="s">
        <v>657</v>
      </c>
      <c r="B52" s="2325" t="s">
        <v>694</v>
      </c>
      <c r="C52" s="2326" t="s">
        <v>383</v>
      </c>
      <c r="D52" s="2334"/>
      <c r="E52" s="2335">
        <v>0</v>
      </c>
      <c r="F52" s="2334">
        <v>0</v>
      </c>
      <c r="G52" s="2328">
        <f t="shared" si="5"/>
        <v>0</v>
      </c>
      <c r="H52" s="2327" t="e">
        <f>#REF!*$H$1</f>
        <v>#REF!</v>
      </c>
      <c r="I52" s="2327" t="e">
        <f t="shared" si="0"/>
        <v>#REF!</v>
      </c>
      <c r="J52" s="2327"/>
      <c r="K52" s="2327">
        <f t="shared" si="3"/>
        <v>0</v>
      </c>
      <c r="L52" s="2327">
        <f t="shared" si="6"/>
        <v>0</v>
      </c>
      <c r="M52" s="2327">
        <f t="shared" si="1"/>
        <v>0</v>
      </c>
      <c r="N52" s="2329">
        <f t="shared" si="2"/>
        <v>0</v>
      </c>
      <c r="O52" s="2330"/>
      <c r="P52" s="2746"/>
      <c r="Q52" s="2336"/>
    </row>
    <row r="53" spans="1:18" ht="30" hidden="1">
      <c r="A53" s="2332" t="s">
        <v>658</v>
      </c>
      <c r="B53" s="2325" t="s">
        <v>695</v>
      </c>
      <c r="C53" s="2326" t="s">
        <v>383</v>
      </c>
      <c r="D53" s="2334"/>
      <c r="E53" s="2334"/>
      <c r="F53" s="2334">
        <v>0</v>
      </c>
      <c r="G53" s="2328">
        <f t="shared" si="5"/>
        <v>0</v>
      </c>
      <c r="H53" s="2334"/>
      <c r="I53" s="2334"/>
      <c r="J53" s="2334"/>
      <c r="K53" s="2327">
        <f t="shared" si="3"/>
        <v>0</v>
      </c>
      <c r="L53" s="2327">
        <f t="shared" si="6"/>
        <v>0</v>
      </c>
      <c r="M53" s="2334"/>
      <c r="N53" s="2347"/>
      <c r="O53" s="2348"/>
      <c r="P53" s="2748"/>
      <c r="Q53" s="2336"/>
    </row>
    <row r="54" spans="1:18" hidden="1">
      <c r="A54" s="2324" t="s">
        <v>659</v>
      </c>
      <c r="B54" s="2325"/>
      <c r="C54" s="2326" t="s">
        <v>383</v>
      </c>
      <c r="D54" s="2334"/>
      <c r="E54" s="2334"/>
      <c r="F54" s="2334">
        <v>0</v>
      </c>
      <c r="G54" s="2328">
        <f t="shared" si="5"/>
        <v>0</v>
      </c>
      <c r="H54" s="2334"/>
      <c r="I54" s="2334"/>
      <c r="J54" s="2334"/>
      <c r="K54" s="2327">
        <f t="shared" si="3"/>
        <v>0</v>
      </c>
      <c r="L54" s="2327">
        <f t="shared" si="6"/>
        <v>0</v>
      </c>
      <c r="M54" s="2334"/>
      <c r="N54" s="2347"/>
      <c r="O54" s="2348"/>
      <c r="P54" s="2748"/>
      <c r="Q54" s="2336"/>
    </row>
    <row r="55" spans="1:18" hidden="1">
      <c r="A55" s="2324" t="s">
        <v>660</v>
      </c>
      <c r="B55" s="2325"/>
      <c r="C55" s="2326" t="s">
        <v>383</v>
      </c>
      <c r="D55" s="2334"/>
      <c r="E55" s="2334"/>
      <c r="F55" s="2334"/>
      <c r="G55" s="2328">
        <f t="shared" si="5"/>
        <v>0</v>
      </c>
      <c r="H55" s="2334"/>
      <c r="I55" s="2334"/>
      <c r="J55" s="2334"/>
      <c r="K55" s="2327">
        <f t="shared" si="3"/>
        <v>0</v>
      </c>
      <c r="L55" s="2327">
        <f t="shared" si="6"/>
        <v>0</v>
      </c>
      <c r="M55" s="2334"/>
      <c r="N55" s="2347"/>
      <c r="O55" s="2348"/>
      <c r="P55" s="2748"/>
      <c r="Q55" s="2336"/>
    </row>
    <row r="56" spans="1:18" hidden="1">
      <c r="A56" s="2332" t="s">
        <v>661</v>
      </c>
      <c r="B56" s="2325"/>
      <c r="C56" s="2326" t="s">
        <v>383</v>
      </c>
      <c r="D56" s="2334"/>
      <c r="E56" s="2334"/>
      <c r="F56" s="2334"/>
      <c r="G56" s="2328">
        <f t="shared" si="5"/>
        <v>0</v>
      </c>
      <c r="H56" s="2334"/>
      <c r="I56" s="2334"/>
      <c r="J56" s="2334"/>
      <c r="K56" s="2327">
        <f t="shared" si="3"/>
        <v>0</v>
      </c>
      <c r="L56" s="2327">
        <f t="shared" si="6"/>
        <v>0</v>
      </c>
      <c r="M56" s="2334"/>
      <c r="N56" s="2347"/>
      <c r="O56" s="2348"/>
      <c r="P56" s="2748"/>
      <c r="Q56" s="2336"/>
    </row>
    <row r="57" spans="1:18" ht="15.75" thickBot="1">
      <c r="A57" s="2349"/>
      <c r="B57" s="2350" t="s">
        <v>157</v>
      </c>
      <c r="C57" s="2351" t="s">
        <v>383</v>
      </c>
      <c r="D57" s="2352">
        <f t="shared" ref="D57:O57" si="7">SUM(D8:D56)</f>
        <v>101591.17199999999</v>
      </c>
      <c r="E57" s="2352">
        <f t="shared" si="7"/>
        <v>35501.19847772942</v>
      </c>
      <c r="F57" s="2352">
        <f t="shared" si="7"/>
        <v>88320.070616640034</v>
      </c>
      <c r="G57" s="2352">
        <f t="shared" si="7"/>
        <v>35915.174199327223</v>
      </c>
      <c r="H57" s="2352" t="e">
        <f t="shared" si="7"/>
        <v>#REF!</v>
      </c>
      <c r="I57" s="2352" t="e">
        <f t="shared" si="7"/>
        <v>#REF!</v>
      </c>
      <c r="J57" s="2352">
        <f t="shared" si="7"/>
        <v>22216.325794559009</v>
      </c>
      <c r="K57" s="2352">
        <f t="shared" si="7"/>
        <v>44187.268589118023</v>
      </c>
      <c r="L57" s="2352">
        <f t="shared" si="7"/>
        <v>46361.130040628319</v>
      </c>
      <c r="M57" s="2352">
        <f t="shared" si="7"/>
        <v>48514.025840375347</v>
      </c>
      <c r="N57" s="2353">
        <f t="shared" si="7"/>
        <v>50493.326998511482</v>
      </c>
      <c r="O57" s="2353">
        <f t="shared" si="7"/>
        <v>26517.774105060002</v>
      </c>
      <c r="P57" s="2749"/>
      <c r="Q57" s="2354">
        <f>SUM(Q8:Q56)</f>
        <v>0</v>
      </c>
    </row>
    <row r="58" spans="1:18">
      <c r="G58" s="2355"/>
    </row>
    <row r="59" spans="1:18" ht="15.75" thickBot="1">
      <c r="E59" s="2242"/>
      <c r="F59" s="2242">
        <v>110704.17759663999</v>
      </c>
      <c r="L59" s="2356" t="s">
        <v>1274</v>
      </c>
      <c r="M59" s="2356"/>
      <c r="N59" s="2356"/>
      <c r="O59" s="2356"/>
      <c r="P59" s="2356"/>
      <c r="Q59" s="2356"/>
    </row>
    <row r="60" spans="1:18" ht="15" customHeight="1">
      <c r="B60" s="2245"/>
      <c r="C60" s="3474">
        <v>2014</v>
      </c>
      <c r="D60" s="3474"/>
      <c r="E60" s="3474" t="s">
        <v>1270</v>
      </c>
      <c r="F60" s="3474"/>
      <c r="G60" s="3474" t="s">
        <v>394</v>
      </c>
      <c r="H60" s="3474" t="s">
        <v>395</v>
      </c>
      <c r="I60" s="3475" t="s">
        <v>1375</v>
      </c>
      <c r="J60" s="3472" t="s">
        <v>1375</v>
      </c>
      <c r="K60" s="3478" t="s">
        <v>1362</v>
      </c>
      <c r="L60" s="3476" t="s">
        <v>394</v>
      </c>
      <c r="M60" s="3476" t="s">
        <v>395</v>
      </c>
      <c r="N60" s="3480" t="s">
        <v>1155</v>
      </c>
      <c r="O60" s="3482"/>
      <c r="P60" s="2416"/>
      <c r="Q60" s="2416"/>
    </row>
    <row r="61" spans="1:18" ht="15" customHeight="1" thickBot="1">
      <c r="B61" s="2245"/>
      <c r="C61" s="2417" t="s">
        <v>5</v>
      </c>
      <c r="D61" s="2417" t="s">
        <v>6</v>
      </c>
      <c r="E61" s="2417" t="s">
        <v>1152</v>
      </c>
      <c r="F61" s="2418" t="s">
        <v>1271</v>
      </c>
      <c r="G61" s="3474"/>
      <c r="H61" s="3474"/>
      <c r="I61" s="3475"/>
      <c r="J61" s="3473"/>
      <c r="K61" s="3479"/>
      <c r="L61" s="3477"/>
      <c r="M61" s="3477"/>
      <c r="N61" s="3481"/>
      <c r="O61" s="3483"/>
      <c r="P61" s="2245"/>
      <c r="Q61" s="2245"/>
    </row>
    <row r="62" spans="1:18" ht="47.25">
      <c r="A62" s="2243" t="s">
        <v>372</v>
      </c>
      <c r="B62" s="2419" t="s">
        <v>369</v>
      </c>
      <c r="C62" s="2245"/>
      <c r="D62" s="2245"/>
      <c r="E62" s="2245"/>
      <c r="F62" s="2245"/>
      <c r="G62" s="2245"/>
      <c r="H62" s="2245"/>
      <c r="I62" s="2245"/>
      <c r="J62" s="2245"/>
      <c r="K62" s="2245"/>
      <c r="L62" s="2245"/>
      <c r="M62" s="2245"/>
      <c r="N62" s="2245"/>
      <c r="O62" s="2245"/>
      <c r="P62" s="2245"/>
      <c r="Q62" s="2245"/>
    </row>
    <row r="63" spans="1:18">
      <c r="A63" s="2246">
        <v>0.57999999999999996</v>
      </c>
      <c r="B63" s="2420" t="s">
        <v>29</v>
      </c>
      <c r="C63" s="2249"/>
      <c r="D63" s="2358">
        <v>5460.9500000000044</v>
      </c>
      <c r="E63" s="2359">
        <f>E57*0.56</f>
        <v>19880.671147528476</v>
      </c>
      <c r="F63" s="2359">
        <v>50533</v>
      </c>
      <c r="G63" s="2359">
        <f>G57*R63</f>
        <v>20220.243074221224</v>
      </c>
      <c r="H63" s="2359" t="e">
        <f t="shared" ref="H63:Q63" si="8">H57*0.58</f>
        <v>#REF!</v>
      </c>
      <c r="I63" s="2359" t="e">
        <f t="shared" si="8"/>
        <v>#REF!</v>
      </c>
      <c r="J63" s="2359">
        <f>J57*R63</f>
        <v>12507.791422336721</v>
      </c>
      <c r="K63" s="2359">
        <f>K57*R63</f>
        <v>24877.432215673445</v>
      </c>
      <c r="L63" s="2359">
        <f>L57*R63</f>
        <v>26101.316212873742</v>
      </c>
      <c r="M63" s="2359">
        <f>M57*R63</f>
        <v>27313.396548131317</v>
      </c>
      <c r="N63" s="2359">
        <f>N57*R63</f>
        <v>28427.743100161963</v>
      </c>
      <c r="O63" s="2359">
        <f>O57*R63</f>
        <v>14929.50682114878</v>
      </c>
      <c r="P63" s="2359"/>
      <c r="Q63" s="2359">
        <f t="shared" si="8"/>
        <v>0</v>
      </c>
      <c r="R63" s="2360">
        <v>0.56299999999999994</v>
      </c>
    </row>
    <row r="64" spans="1:18">
      <c r="A64" s="2246">
        <v>0.42</v>
      </c>
      <c r="B64" s="2421" t="s">
        <v>370</v>
      </c>
      <c r="C64" s="2251"/>
      <c r="D64" s="2361">
        <v>45925.14</v>
      </c>
      <c r="E64" s="2362">
        <f>E57*0.34</f>
        <v>12070.407482428003</v>
      </c>
      <c r="F64" s="2362">
        <v>50533</v>
      </c>
      <c r="G64" s="2362">
        <f>G57*R64</f>
        <v>12211.159227771257</v>
      </c>
      <c r="H64" s="2362" t="e">
        <f t="shared" ref="H64:I64" si="9">H57*0.42</f>
        <v>#REF!</v>
      </c>
      <c r="I64" s="2362" t="e">
        <f t="shared" si="9"/>
        <v>#REF!</v>
      </c>
      <c r="J64" s="2362">
        <f>J57*R64</f>
        <v>7553.5507701500637</v>
      </c>
      <c r="K64" s="2362">
        <f>K57*R64</f>
        <v>15023.671320300129</v>
      </c>
      <c r="L64" s="2362">
        <f>L57*R64</f>
        <v>15762.784213813629</v>
      </c>
      <c r="M64" s="2362">
        <f>M57*R64</f>
        <v>16494.768785727618</v>
      </c>
      <c r="N64" s="2362">
        <f>N57*R64</f>
        <v>17167.731179493905</v>
      </c>
      <c r="O64" s="2362">
        <f>O57*R64</f>
        <v>9016.0431957204019</v>
      </c>
      <c r="P64" s="2362"/>
      <c r="Q64" s="2362">
        <v>0.42</v>
      </c>
      <c r="R64" s="2415">
        <v>0.34</v>
      </c>
    </row>
    <row r="65" spans="1:19" ht="47.25" hidden="1">
      <c r="A65" s="2243" t="s">
        <v>372</v>
      </c>
      <c r="B65" s="2419" t="s">
        <v>371</v>
      </c>
      <c r="C65" s="2245"/>
      <c r="D65" s="2245"/>
      <c r="E65" s="2245"/>
      <c r="F65" s="2245" t="s">
        <v>1273</v>
      </c>
      <c r="G65" s="2245"/>
      <c r="H65" s="2245"/>
      <c r="I65" s="2245"/>
      <c r="J65" s="2245"/>
      <c r="K65" s="2245"/>
      <c r="L65" s="2245"/>
      <c r="M65" s="2245"/>
      <c r="N65" s="2245"/>
      <c r="O65" s="2245"/>
      <c r="P65" s="2245"/>
      <c r="Q65" s="2245"/>
    </row>
    <row r="66" spans="1:19" hidden="1">
      <c r="B66" s="2420" t="s">
        <v>29</v>
      </c>
      <c r="C66" s="2245"/>
      <c r="D66" s="2358">
        <v>5460.9500000000044</v>
      </c>
      <c r="E66" s="2361">
        <v>54033.484400000001</v>
      </c>
      <c r="F66" s="2358">
        <v>5460.9500000000044</v>
      </c>
      <c r="G66" s="2361">
        <v>61384.725627199994</v>
      </c>
      <c r="H66" s="2361">
        <v>61138.278747916804</v>
      </c>
      <c r="I66" s="2361">
        <v>63785.099747029351</v>
      </c>
      <c r="J66" s="2361"/>
      <c r="K66" s="2361"/>
      <c r="L66" s="2361"/>
      <c r="M66" s="2361"/>
      <c r="N66" s="2361"/>
      <c r="O66" s="2361"/>
      <c r="P66" s="2361"/>
      <c r="Q66" s="2361"/>
    </row>
    <row r="67" spans="1:19" hidden="1">
      <c r="B67" s="2421" t="s">
        <v>370</v>
      </c>
      <c r="C67" s="2245"/>
      <c r="D67" s="2361">
        <f>'Смета ВО_2016'!D27</f>
        <v>45925.14</v>
      </c>
      <c r="E67" s="2361">
        <f>'Смета ВО_2016'!E27</f>
        <v>14441.37</v>
      </c>
      <c r="F67" s="2361">
        <f>'Смета ВО_2016'!F27</f>
        <v>30517.43</v>
      </c>
      <c r="G67" s="2361">
        <v>39560.068255174883</v>
      </c>
      <c r="H67" s="2361">
        <v>61138.278747916804</v>
      </c>
      <c r="I67" s="2361">
        <v>63785.099747029351</v>
      </c>
      <c r="J67" s="2361"/>
      <c r="K67" s="2361"/>
      <c r="L67" s="2361"/>
      <c r="M67" s="2361"/>
      <c r="N67" s="2361"/>
      <c r="O67" s="2361"/>
      <c r="P67" s="2361"/>
      <c r="Q67" s="2361"/>
    </row>
    <row r="70" spans="1:19">
      <c r="S70" s="2357"/>
    </row>
  </sheetData>
  <mergeCells count="28">
    <mergeCell ref="O3:Q3"/>
    <mergeCell ref="Q4:Q5"/>
    <mergeCell ref="A1:B1"/>
    <mergeCell ref="A3:A5"/>
    <mergeCell ref="B3:B5"/>
    <mergeCell ref="C3:C5"/>
    <mergeCell ref="D3:N3"/>
    <mergeCell ref="D4:E4"/>
    <mergeCell ref="F4:G4"/>
    <mergeCell ref="H4:H5"/>
    <mergeCell ref="I4:I5"/>
    <mergeCell ref="J4:J5"/>
    <mergeCell ref="K4:K5"/>
    <mergeCell ref="L4:L5"/>
    <mergeCell ref="M4:M5"/>
    <mergeCell ref="N4:N5"/>
    <mergeCell ref="O4:O5"/>
    <mergeCell ref="K60:K61"/>
    <mergeCell ref="L60:L61"/>
    <mergeCell ref="M60:M61"/>
    <mergeCell ref="N60:N61"/>
    <mergeCell ref="O60:O61"/>
    <mergeCell ref="J60:J61"/>
    <mergeCell ref="C60:D60"/>
    <mergeCell ref="E60:F60"/>
    <mergeCell ref="G60:G61"/>
    <mergeCell ref="H60:H61"/>
    <mergeCell ref="I60:I61"/>
  </mergeCells>
  <pageMargins left="0.23622047244094491" right="0.23622047244094491" top="0.35433070866141736" bottom="0.35433070866141736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S1322"/>
  <sheetViews>
    <sheetView topLeftCell="A187" zoomScale="90" zoomScaleNormal="90" workbookViewId="0">
      <selection activeCell="M191" sqref="M191"/>
    </sheetView>
  </sheetViews>
  <sheetFormatPr defaultRowHeight="15"/>
  <cols>
    <col min="1" max="1" width="6.28515625" customWidth="1"/>
    <col min="2" max="2" width="22.140625" customWidth="1"/>
    <col min="4" max="4" width="13.5703125" customWidth="1"/>
    <col min="5" max="5" width="14.5703125" style="474" customWidth="1"/>
    <col min="6" max="6" width="13.140625" style="474" customWidth="1"/>
    <col min="7" max="9" width="14.28515625" style="474" customWidth="1"/>
    <col min="10" max="10" width="14.28515625" customWidth="1"/>
    <col min="11" max="11" width="13.5703125" customWidth="1"/>
    <col min="12" max="16" width="12.28515625" customWidth="1"/>
    <col min="17" max="17" width="12.42578125" customWidth="1"/>
    <col min="18" max="18" width="13.5703125" bestFit="1" customWidth="1"/>
  </cols>
  <sheetData>
    <row r="3" spans="1:15">
      <c r="F3" s="3457" t="s">
        <v>402</v>
      </c>
      <c r="G3" s="3457"/>
      <c r="H3" s="3457"/>
      <c r="I3" s="3457"/>
      <c r="J3" s="3457"/>
      <c r="K3" s="3457"/>
      <c r="L3" s="3457"/>
      <c r="M3" s="3457"/>
    </row>
    <row r="4" spans="1:15">
      <c r="F4" s="3457" t="s">
        <v>169</v>
      </c>
      <c r="G4" s="3457"/>
      <c r="H4" s="3457"/>
      <c r="I4" s="3457"/>
      <c r="J4" s="3457"/>
      <c r="K4" s="3457"/>
      <c r="L4" s="3457"/>
      <c r="M4" s="3457"/>
    </row>
    <row r="5" spans="1:15">
      <c r="F5" s="475" t="s">
        <v>403</v>
      </c>
      <c r="G5" s="475"/>
      <c r="H5" s="475"/>
      <c r="I5" s="475"/>
      <c r="J5" s="58"/>
      <c r="K5" s="58"/>
      <c r="L5" s="58"/>
      <c r="M5" s="58"/>
    </row>
    <row r="6" spans="1:15">
      <c r="F6" s="3457" t="s">
        <v>170</v>
      </c>
      <c r="G6" s="3457"/>
      <c r="H6" s="3457"/>
      <c r="I6" s="3457"/>
      <c r="J6" s="3457"/>
      <c r="K6" s="3457"/>
      <c r="L6" s="3457"/>
      <c r="M6" s="3457"/>
    </row>
    <row r="7" spans="1:15" ht="15.75" thickBot="1">
      <c r="A7" s="57" t="s">
        <v>404</v>
      </c>
    </row>
    <row r="8" spans="1:15" ht="15.75" thickBot="1">
      <c r="A8" s="3389" t="s">
        <v>0</v>
      </c>
      <c r="B8" s="3389" t="s">
        <v>1</v>
      </c>
      <c r="C8" s="3389" t="s">
        <v>2</v>
      </c>
      <c r="D8" s="3432" t="s">
        <v>165</v>
      </c>
      <c r="E8" s="3433"/>
      <c r="F8" s="3433"/>
      <c r="G8" s="3433"/>
      <c r="H8" s="3433"/>
      <c r="I8" s="3433"/>
      <c r="J8" s="3433"/>
      <c r="K8" s="3433"/>
      <c r="L8" s="3434"/>
      <c r="M8" s="3432" t="s">
        <v>166</v>
      </c>
      <c r="N8" s="3433"/>
      <c r="O8" s="3434"/>
    </row>
    <row r="9" spans="1:15" ht="31.5" customHeight="1" thickBot="1">
      <c r="A9" s="3401"/>
      <c r="B9" s="3401"/>
      <c r="C9" s="3401"/>
      <c r="D9" s="3458" t="s">
        <v>1200</v>
      </c>
      <c r="E9" s="3458"/>
      <c r="F9" s="3416" t="s">
        <v>1394</v>
      </c>
      <c r="G9" s="3417"/>
      <c r="H9" s="3416" t="s">
        <v>1395</v>
      </c>
      <c r="I9" s="3417"/>
      <c r="J9" s="3389" t="s">
        <v>394</v>
      </c>
      <c r="K9" s="3389" t="s">
        <v>395</v>
      </c>
      <c r="L9" s="3389" t="s">
        <v>1155</v>
      </c>
      <c r="M9" s="3495" t="s">
        <v>394</v>
      </c>
      <c r="N9" s="3389" t="s">
        <v>395</v>
      </c>
      <c r="O9" s="3389" t="s">
        <v>1155</v>
      </c>
    </row>
    <row r="10" spans="1:15" ht="60.75" thickBot="1">
      <c r="A10" s="3390"/>
      <c r="B10" s="3390"/>
      <c r="C10" s="3388"/>
      <c r="D10" s="1683" t="s">
        <v>623</v>
      </c>
      <c r="E10" s="476" t="s">
        <v>6</v>
      </c>
      <c r="F10" s="476" t="s">
        <v>7</v>
      </c>
      <c r="G10" s="476" t="s">
        <v>8</v>
      </c>
      <c r="H10" s="2029" t="s">
        <v>1363</v>
      </c>
      <c r="I10" s="2029" t="s">
        <v>1396</v>
      </c>
      <c r="J10" s="3390"/>
      <c r="K10" s="3390"/>
      <c r="L10" s="3390"/>
      <c r="M10" s="3496"/>
      <c r="N10" s="3390"/>
      <c r="O10" s="3390"/>
    </row>
    <row r="11" spans="1:15" hidden="1">
      <c r="A11" s="32">
        <v>1</v>
      </c>
      <c r="B11" s="1684">
        <v>2</v>
      </c>
      <c r="C11" s="51">
        <v>3</v>
      </c>
      <c r="D11" s="32">
        <v>4</v>
      </c>
      <c r="E11" s="1696">
        <v>5</v>
      </c>
      <c r="F11" s="1727">
        <v>6</v>
      </c>
      <c r="G11" s="1696">
        <v>7</v>
      </c>
      <c r="H11" s="2030"/>
      <c r="I11" s="2030"/>
      <c r="J11" s="392">
        <v>8</v>
      </c>
      <c r="K11" s="1762"/>
      <c r="L11" s="1762"/>
      <c r="M11" s="1763">
        <v>9</v>
      </c>
      <c r="N11" s="26">
        <v>10</v>
      </c>
      <c r="O11" s="1736">
        <v>11</v>
      </c>
    </row>
    <row r="12" spans="1:15" hidden="1">
      <c r="A12" s="1697"/>
      <c r="B12" s="226" t="s">
        <v>405</v>
      </c>
      <c r="C12" s="1686"/>
      <c r="D12" s="1697"/>
      <c r="E12" s="1698"/>
      <c r="F12" s="1728"/>
      <c r="G12" s="1729"/>
      <c r="H12" s="2031"/>
      <c r="I12" s="2031"/>
      <c r="J12" s="1749"/>
      <c r="K12" s="1749"/>
      <c r="L12" s="1749"/>
      <c r="M12" s="1693"/>
      <c r="N12" s="227"/>
      <c r="O12" s="1729"/>
    </row>
    <row r="13" spans="1:15" ht="45" hidden="1">
      <c r="A13" s="999" t="s">
        <v>147</v>
      </c>
      <c r="B13" s="229" t="s">
        <v>406</v>
      </c>
      <c r="C13" s="655" t="s">
        <v>407</v>
      </c>
      <c r="D13" s="1604">
        <v>698.42</v>
      </c>
      <c r="E13" s="1699">
        <v>1095.0999999999999</v>
      </c>
      <c r="F13" s="1730">
        <v>1116</v>
      </c>
      <c r="G13" s="1699">
        <v>1083</v>
      </c>
      <c r="H13" s="2032"/>
      <c r="I13" s="2032"/>
      <c r="J13" s="1750">
        <v>1101</v>
      </c>
      <c r="K13" s="1750">
        <v>1101</v>
      </c>
      <c r="L13" s="1750">
        <v>1101</v>
      </c>
      <c r="M13" s="1725"/>
      <c r="N13" s="467"/>
      <c r="O13" s="1737"/>
    </row>
    <row r="14" spans="1:15" hidden="1">
      <c r="A14" s="999" t="s">
        <v>148</v>
      </c>
      <c r="B14" s="229" t="s">
        <v>408</v>
      </c>
      <c r="C14" s="655"/>
      <c r="D14" s="1604"/>
      <c r="E14" s="1700"/>
      <c r="F14" s="1720"/>
      <c r="G14" s="1700"/>
      <c r="H14" s="2033"/>
      <c r="I14" s="2033"/>
      <c r="J14" s="1751"/>
      <c r="K14" s="1751"/>
      <c r="L14" s="1751"/>
      <c r="M14" s="1034"/>
      <c r="N14" s="416"/>
      <c r="O14" s="1030"/>
    </row>
    <row r="15" spans="1:15" ht="30" hidden="1">
      <c r="A15" s="538" t="s">
        <v>159</v>
      </c>
      <c r="B15" s="34" t="s">
        <v>409</v>
      </c>
      <c r="C15" s="655" t="s">
        <v>291</v>
      </c>
      <c r="D15" s="1604">
        <v>4771</v>
      </c>
      <c r="E15" s="1700">
        <v>4771</v>
      </c>
      <c r="F15" s="1720">
        <v>5040</v>
      </c>
      <c r="G15" s="1700">
        <v>5040</v>
      </c>
      <c r="H15" s="2033"/>
      <c r="I15" s="2033"/>
      <c r="J15" s="1751">
        <v>5040</v>
      </c>
      <c r="K15" s="1751">
        <v>5040</v>
      </c>
      <c r="L15" s="1751">
        <v>5040</v>
      </c>
      <c r="M15" s="1034"/>
      <c r="N15" s="416"/>
      <c r="O15" s="1030"/>
    </row>
    <row r="16" spans="1:15" ht="45" hidden="1">
      <c r="A16" s="538" t="s">
        <v>410</v>
      </c>
      <c r="B16" s="471" t="s">
        <v>324</v>
      </c>
      <c r="C16" s="1687"/>
      <c r="D16" s="1701"/>
      <c r="E16" s="1700"/>
      <c r="F16" s="1701"/>
      <c r="G16" s="1731">
        <v>1.1200000000000001</v>
      </c>
      <c r="H16" s="2034"/>
      <c r="I16" s="2034"/>
      <c r="J16" s="1752">
        <v>1.05</v>
      </c>
      <c r="K16" s="1752">
        <v>1.0449999999999999</v>
      </c>
      <c r="L16" s="1752">
        <v>1.0429999999999999</v>
      </c>
      <c r="M16" s="1764"/>
      <c r="N16" s="473"/>
      <c r="O16" s="1738"/>
    </row>
    <row r="17" spans="1:15" ht="45" hidden="1">
      <c r="A17" s="538" t="s">
        <v>411</v>
      </c>
      <c r="B17" s="34" t="s">
        <v>412</v>
      </c>
      <c r="C17" s="655" t="s">
        <v>291</v>
      </c>
      <c r="D17" s="1604">
        <v>0</v>
      </c>
      <c r="E17" s="1700">
        <v>0</v>
      </c>
      <c r="F17" s="1720">
        <v>0</v>
      </c>
      <c r="G17" s="1700">
        <v>0</v>
      </c>
      <c r="H17" s="2033"/>
      <c r="I17" s="2033"/>
      <c r="J17" s="1751">
        <v>0</v>
      </c>
      <c r="K17" s="1751">
        <v>0</v>
      </c>
      <c r="L17" s="1751">
        <v>0</v>
      </c>
      <c r="M17" s="1034">
        <v>0</v>
      </c>
      <c r="N17" s="416">
        <v>0</v>
      </c>
      <c r="O17" s="1030">
        <v>0</v>
      </c>
    </row>
    <row r="18" spans="1:15" ht="30" hidden="1">
      <c r="A18" s="538" t="s">
        <v>413</v>
      </c>
      <c r="B18" s="34" t="s">
        <v>414</v>
      </c>
      <c r="C18" s="655"/>
      <c r="D18" s="1604">
        <v>1.4</v>
      </c>
      <c r="E18" s="1700">
        <v>1.4</v>
      </c>
      <c r="F18" s="1720">
        <v>1.4</v>
      </c>
      <c r="G18" s="1700">
        <v>1.4</v>
      </c>
      <c r="H18" s="2033"/>
      <c r="I18" s="2033"/>
      <c r="J18" s="1751">
        <v>1.4</v>
      </c>
      <c r="K18" s="1751">
        <v>1.4</v>
      </c>
      <c r="L18" s="1751">
        <v>1.4</v>
      </c>
      <c r="M18" s="1034"/>
      <c r="N18" s="416"/>
      <c r="O18" s="1030"/>
    </row>
    <row r="19" spans="1:15" ht="30" hidden="1">
      <c r="A19" s="538" t="s">
        <v>415</v>
      </c>
      <c r="B19" s="34" t="s">
        <v>416</v>
      </c>
      <c r="C19" s="655" t="s">
        <v>291</v>
      </c>
      <c r="D19" s="1604">
        <v>9393</v>
      </c>
      <c r="E19" s="1700">
        <v>9396</v>
      </c>
      <c r="F19" s="1720">
        <v>10988</v>
      </c>
      <c r="G19" s="1700">
        <v>10854</v>
      </c>
      <c r="H19" s="2033"/>
      <c r="I19" s="2033"/>
      <c r="J19" s="1751">
        <f>G19*J16</f>
        <v>11396.7</v>
      </c>
      <c r="K19" s="1751">
        <f>J19*K16</f>
        <v>11909.5515</v>
      </c>
      <c r="L19" s="1751">
        <f>K19*L16</f>
        <v>12421.662214499998</v>
      </c>
      <c r="M19" s="1034">
        <v>0</v>
      </c>
      <c r="N19" s="416">
        <v>0</v>
      </c>
      <c r="O19" s="1030">
        <v>0</v>
      </c>
    </row>
    <row r="20" spans="1:15" ht="75" hidden="1">
      <c r="A20" s="1031" t="s">
        <v>417</v>
      </c>
      <c r="B20" s="230" t="s">
        <v>418</v>
      </c>
      <c r="C20" s="1688" t="s">
        <v>291</v>
      </c>
      <c r="D20" s="1611">
        <f>D15*D18</f>
        <v>6679.4</v>
      </c>
      <c r="E20" s="1702">
        <f>E18*E15</f>
        <v>6679.4</v>
      </c>
      <c r="F20" s="1716">
        <f>F15*F18</f>
        <v>7056</v>
      </c>
      <c r="G20" s="1702">
        <f>G15*G18</f>
        <v>7056</v>
      </c>
      <c r="H20" s="2035"/>
      <c r="I20" s="2035"/>
      <c r="J20" s="1753">
        <f>J15*J18</f>
        <v>7056</v>
      </c>
      <c r="K20" s="1753">
        <f>K15*K18</f>
        <v>7056</v>
      </c>
      <c r="L20" s="1753">
        <f>L15*L18</f>
        <v>7056</v>
      </c>
      <c r="M20" s="1049"/>
      <c r="N20" s="427"/>
      <c r="O20" s="1032"/>
    </row>
    <row r="21" spans="1:15" hidden="1">
      <c r="A21" s="1031"/>
      <c r="B21" s="230" t="s">
        <v>624</v>
      </c>
      <c r="C21" s="1688"/>
      <c r="D21" s="1611">
        <f>D13*12*D19</f>
        <v>78723108.719999984</v>
      </c>
      <c r="E21" s="1702">
        <f>E13*12*E19</f>
        <v>123474715.19999999</v>
      </c>
      <c r="F21" s="1716">
        <f>F19*F13*12</f>
        <v>147151296</v>
      </c>
      <c r="G21" s="1702">
        <f>G19*G13*12</f>
        <v>141058584</v>
      </c>
      <c r="H21" s="2035"/>
      <c r="I21" s="2035"/>
      <c r="J21" s="1753">
        <f>J19*J13*12</f>
        <v>150573200.40000001</v>
      </c>
      <c r="K21" s="1753">
        <f t="shared" ref="K21:L21" si="0">K19*K13*12</f>
        <v>157348994.41800001</v>
      </c>
      <c r="L21" s="1753">
        <f t="shared" si="0"/>
        <v>164115001.17797399</v>
      </c>
      <c r="M21" s="1049"/>
      <c r="N21" s="427"/>
      <c r="O21" s="1032"/>
    </row>
    <row r="22" spans="1:15" ht="60" hidden="1">
      <c r="A22" s="1097" t="s">
        <v>419</v>
      </c>
      <c r="B22" s="231" t="s">
        <v>420</v>
      </c>
      <c r="C22" s="1688"/>
      <c r="D22" s="1611">
        <v>1394</v>
      </c>
      <c r="E22" s="1702">
        <v>1394</v>
      </c>
      <c r="F22" s="1716">
        <v>1573</v>
      </c>
      <c r="G22" s="1702">
        <v>1751</v>
      </c>
      <c r="H22" s="2035"/>
      <c r="I22" s="2035"/>
      <c r="J22" s="1753">
        <f>G22*J16</f>
        <v>1838.5500000000002</v>
      </c>
      <c r="K22" s="1753">
        <f>J22*1.045</f>
        <v>1921.28475</v>
      </c>
      <c r="L22" s="1753">
        <f>K22*1.043</f>
        <v>2003.89999425</v>
      </c>
      <c r="M22" s="1049"/>
      <c r="N22" s="427"/>
      <c r="O22" s="1032"/>
    </row>
    <row r="23" spans="1:15" hidden="1">
      <c r="A23" s="1031" t="s">
        <v>421</v>
      </c>
      <c r="B23" s="247" t="s">
        <v>422</v>
      </c>
      <c r="C23" s="1688" t="s">
        <v>280</v>
      </c>
      <c r="D23" s="1703">
        <v>0.15</v>
      </c>
      <c r="E23" s="1704">
        <v>0.15</v>
      </c>
      <c r="F23" s="1717">
        <f>F24/F21</f>
        <v>0.14315617036767384</v>
      </c>
      <c r="G23" s="1704">
        <f>G24/G21</f>
        <v>0.16132301455684539</v>
      </c>
      <c r="H23" s="2036"/>
      <c r="I23" s="2036"/>
      <c r="J23" s="1754">
        <f>J24/J21</f>
        <v>0.16132301455684542</v>
      </c>
      <c r="K23" s="1754">
        <f>K24/K21</f>
        <v>0.16132301455684542</v>
      </c>
      <c r="L23" s="1754">
        <f>L24/L21</f>
        <v>0.16132301455684542</v>
      </c>
      <c r="M23" s="1765"/>
      <c r="N23" s="465"/>
      <c r="O23" s="1739"/>
    </row>
    <row r="24" spans="1:15" hidden="1">
      <c r="A24" s="1031" t="s">
        <v>423</v>
      </c>
      <c r="B24" s="247" t="s">
        <v>424</v>
      </c>
      <c r="C24" s="1688" t="s">
        <v>291</v>
      </c>
      <c r="D24" s="1705">
        <f>D21*D23</f>
        <v>11808466.307999996</v>
      </c>
      <c r="E24" s="1706">
        <v>18318833.399999999</v>
      </c>
      <c r="F24" s="1715">
        <f>F22*F13*12</f>
        <v>21065616</v>
      </c>
      <c r="G24" s="1706">
        <f>G22*G13*12</f>
        <v>22755996</v>
      </c>
      <c r="H24" s="2037"/>
      <c r="I24" s="2037"/>
      <c r="J24" s="1755">
        <f>J22*12*J13</f>
        <v>24290922.600000001</v>
      </c>
      <c r="K24" s="1755">
        <f t="shared" ref="K24:L24" si="1">K22*12*K13</f>
        <v>25384014.117000002</v>
      </c>
      <c r="L24" s="1755">
        <f t="shared" si="1"/>
        <v>26475526.724031001</v>
      </c>
      <c r="M24" s="1721"/>
      <c r="N24" s="466"/>
      <c r="O24" s="1740"/>
    </row>
    <row r="25" spans="1:15" ht="30" hidden="1">
      <c r="A25" s="1097" t="s">
        <v>425</v>
      </c>
      <c r="B25" s="231" t="s">
        <v>426</v>
      </c>
      <c r="C25" s="1688"/>
      <c r="D25" s="1611"/>
      <c r="E25" s="1702"/>
      <c r="F25" s="1716"/>
      <c r="G25" s="1702"/>
      <c r="H25" s="2035"/>
      <c r="I25" s="2035"/>
      <c r="J25" s="1753"/>
      <c r="K25" s="1753"/>
      <c r="L25" s="1753"/>
      <c r="M25" s="1049"/>
      <c r="N25" s="427"/>
      <c r="O25" s="1032"/>
    </row>
    <row r="26" spans="1:15" hidden="1">
      <c r="A26" s="1031" t="s">
        <v>427</v>
      </c>
      <c r="B26" s="247" t="s">
        <v>422</v>
      </c>
      <c r="C26" s="1688" t="s">
        <v>280</v>
      </c>
      <c r="D26" s="1703">
        <v>0.45</v>
      </c>
      <c r="E26" s="1704">
        <v>0.46</v>
      </c>
      <c r="F26" s="1717">
        <f>F27/F21</f>
        <v>0.45999999999999996</v>
      </c>
      <c r="G26" s="1704">
        <f>G27/G21</f>
        <v>0.45317992841896104</v>
      </c>
      <c r="H26" s="2036"/>
      <c r="I26" s="2036"/>
      <c r="J26" s="1754">
        <f>J27/J21</f>
        <v>0.45317992722960015</v>
      </c>
      <c r="K26" s="1754">
        <f t="shared" ref="K26:L26" si="2">K27/K21</f>
        <v>0.45317992722960004</v>
      </c>
      <c r="L26" s="1754">
        <f t="shared" si="2"/>
        <v>0.45317992722960004</v>
      </c>
      <c r="M26" s="1765"/>
      <c r="N26" s="465"/>
      <c r="O26" s="1739"/>
    </row>
    <row r="27" spans="1:15" hidden="1">
      <c r="A27" s="1031" t="s">
        <v>428</v>
      </c>
      <c r="B27" s="247" t="s">
        <v>424</v>
      </c>
      <c r="C27" s="1688" t="s">
        <v>291</v>
      </c>
      <c r="D27" s="1705">
        <v>35425399</v>
      </c>
      <c r="E27" s="1706">
        <v>57368879.799999997</v>
      </c>
      <c r="F27" s="1715">
        <f>F21*0.46</f>
        <v>67689596.159999996</v>
      </c>
      <c r="G27" s="1706">
        <v>63924919</v>
      </c>
      <c r="H27" s="2037"/>
      <c r="I27" s="2037"/>
      <c r="J27" s="1755">
        <v>68236752</v>
      </c>
      <c r="K27" s="1755">
        <f>J27*1.045</f>
        <v>71307405.839999989</v>
      </c>
      <c r="L27" s="1755">
        <f>K27*1.043</f>
        <v>74373624.291119978</v>
      </c>
      <c r="M27" s="1721"/>
      <c r="N27" s="466"/>
      <c r="O27" s="1740"/>
    </row>
    <row r="28" spans="1:15" ht="60" hidden="1">
      <c r="A28" s="1097" t="s">
        <v>429</v>
      </c>
      <c r="B28" s="231" t="s">
        <v>430</v>
      </c>
      <c r="C28" s="1688"/>
      <c r="D28" s="1705">
        <v>26329713</v>
      </c>
      <c r="E28" s="1706">
        <v>44779134.299999997</v>
      </c>
      <c r="F28" s="1715">
        <f>F21*0.36</f>
        <v>52974466.559999995</v>
      </c>
      <c r="G28" s="1706">
        <v>46549333</v>
      </c>
      <c r="H28" s="2037"/>
      <c r="I28" s="2037"/>
      <c r="J28" s="1755">
        <v>49689156</v>
      </c>
      <c r="K28" s="1755">
        <f>J28*1.045</f>
        <v>51925168.019999996</v>
      </c>
      <c r="L28" s="1755">
        <f>K28*1.043</f>
        <v>54157950.244859993</v>
      </c>
      <c r="M28" s="1721"/>
      <c r="N28" s="466"/>
      <c r="O28" s="1740"/>
    </row>
    <row r="29" spans="1:15" hidden="1">
      <c r="A29" s="1031" t="s">
        <v>431</v>
      </c>
      <c r="B29" s="247" t="s">
        <v>422</v>
      </c>
      <c r="C29" s="1688" t="s">
        <v>280</v>
      </c>
      <c r="D29" s="1703">
        <v>0.33</v>
      </c>
      <c r="E29" s="1704">
        <v>0.36</v>
      </c>
      <c r="F29" s="1717">
        <v>0.35</v>
      </c>
      <c r="G29" s="1704">
        <f>G28/G21</f>
        <v>0.33000000198499085</v>
      </c>
      <c r="H29" s="2036"/>
      <c r="I29" s="2036"/>
      <c r="J29" s="1754">
        <f>J28/J21</f>
        <v>0.32999999912334999</v>
      </c>
      <c r="K29" s="1754">
        <f t="shared" ref="K29:L29" si="3">K28/K21</f>
        <v>0.32999999912334993</v>
      </c>
      <c r="L29" s="1754">
        <f t="shared" si="3"/>
        <v>0.32999999912334999</v>
      </c>
      <c r="M29" s="1765"/>
      <c r="N29" s="465"/>
      <c r="O29" s="1739"/>
    </row>
    <row r="30" spans="1:15" hidden="1">
      <c r="A30" s="1031" t="s">
        <v>432</v>
      </c>
      <c r="B30" s="247" t="s">
        <v>424</v>
      </c>
      <c r="C30" s="1688" t="s">
        <v>291</v>
      </c>
      <c r="D30" s="1705">
        <v>3159566</v>
      </c>
      <c r="E30" s="1706">
        <v>5821287</v>
      </c>
      <c r="F30" s="1715">
        <f>F28*0.13</f>
        <v>6886680.6527999993</v>
      </c>
      <c r="G30" s="1706">
        <v>6903113</v>
      </c>
      <c r="H30" s="2037"/>
      <c r="I30" s="2037"/>
      <c r="J30" s="1755">
        <f>J28*0.13</f>
        <v>6459590.2800000003</v>
      </c>
      <c r="K30" s="1755">
        <f>J30*1.045</f>
        <v>6750271.8426000001</v>
      </c>
      <c r="L30" s="1755">
        <f>K30*1.043</f>
        <v>7040533.5318318</v>
      </c>
      <c r="M30" s="1721"/>
      <c r="N30" s="466"/>
      <c r="O30" s="1740"/>
    </row>
    <row r="31" spans="1:15" hidden="1">
      <c r="A31" s="1031" t="s">
        <v>433</v>
      </c>
      <c r="B31" s="247" t="s">
        <v>259</v>
      </c>
      <c r="C31" s="1688" t="s">
        <v>291</v>
      </c>
      <c r="D31" s="1705">
        <v>23170148</v>
      </c>
      <c r="E31" s="1706">
        <v>38957847</v>
      </c>
      <c r="F31" s="1715">
        <f>F28*0.87</f>
        <v>46087785.907199994</v>
      </c>
      <c r="G31" s="1706">
        <v>39646220</v>
      </c>
      <c r="H31" s="2037"/>
      <c r="I31" s="2037"/>
      <c r="J31" s="1755">
        <f>J28*0.87</f>
        <v>43229565.719999999</v>
      </c>
      <c r="K31" s="1755">
        <f>J31*1.045</f>
        <v>45174896.177399993</v>
      </c>
      <c r="L31" s="1755">
        <f>K31*1.043</f>
        <v>47117416.713028193</v>
      </c>
      <c r="M31" s="1721"/>
      <c r="N31" s="466"/>
      <c r="O31" s="1740"/>
    </row>
    <row r="32" spans="1:15" hidden="1">
      <c r="A32" s="1031" t="s">
        <v>434</v>
      </c>
      <c r="B32" s="247" t="s">
        <v>435</v>
      </c>
      <c r="C32" s="1688" t="s">
        <v>291</v>
      </c>
      <c r="D32" s="1705">
        <v>0</v>
      </c>
      <c r="E32" s="1706">
        <v>0</v>
      </c>
      <c r="F32" s="1715">
        <v>0</v>
      </c>
      <c r="G32" s="1706">
        <v>0</v>
      </c>
      <c r="H32" s="2037"/>
      <c r="I32" s="2037"/>
      <c r="J32" s="1755"/>
      <c r="K32" s="1755"/>
      <c r="L32" s="1755"/>
      <c r="M32" s="1721"/>
      <c r="N32" s="466"/>
      <c r="O32" s="1740"/>
    </row>
    <row r="33" spans="1:18" ht="60" hidden="1">
      <c r="A33" s="1097" t="s">
        <v>436</v>
      </c>
      <c r="B33" s="231" t="s">
        <v>437</v>
      </c>
      <c r="C33" s="1688" t="s">
        <v>291</v>
      </c>
      <c r="D33" s="1705">
        <f>D34/D13/12</f>
        <v>18155.430674474766</v>
      </c>
      <c r="E33" s="1706">
        <f>E34/E13/12</f>
        <v>18563.111504276625</v>
      </c>
      <c r="F33" s="1715">
        <f>F34/12/F13</f>
        <v>21571.16</v>
      </c>
      <c r="G33" s="1706">
        <f>G34/12/G13</f>
        <v>21105.634964604495</v>
      </c>
      <c r="H33" s="2037"/>
      <c r="I33" s="2037"/>
      <c r="J33" s="1755">
        <f>J34/12/J13</f>
        <v>22160.916666666668</v>
      </c>
      <c r="K33" s="1755">
        <f t="shared" ref="K33:L33" si="4">K34/12/K13</f>
        <v>23158.157916666663</v>
      </c>
      <c r="L33" s="1755">
        <f t="shared" si="4"/>
        <v>24153.95870708333</v>
      </c>
      <c r="M33" s="1721">
        <v>0</v>
      </c>
      <c r="N33" s="466">
        <v>0</v>
      </c>
      <c r="O33" s="1740">
        <v>0</v>
      </c>
      <c r="Q33">
        <f>J34/12/1101</f>
        <v>22160.916666666668</v>
      </c>
    </row>
    <row r="34" spans="1:18" hidden="1">
      <c r="A34" s="1097" t="s">
        <v>438</v>
      </c>
      <c r="B34" s="231" t="s">
        <v>439</v>
      </c>
      <c r="C34" s="1688" t="s">
        <v>32</v>
      </c>
      <c r="D34" s="1707">
        <v>152161390.69999999</v>
      </c>
      <c r="E34" s="1708">
        <f>E21+E24+E27+E28-1.8</f>
        <v>243941560.89999998</v>
      </c>
      <c r="F34" s="1732">
        <f>F21+F24+F27+F28</f>
        <v>288880974.71999997</v>
      </c>
      <c r="G34" s="1708">
        <f>G21+G24+G27+G28</f>
        <v>274288832</v>
      </c>
      <c r="H34" s="2038"/>
      <c r="I34" s="2038"/>
      <c r="J34" s="1756">
        <f>J21+J24+J27+J28</f>
        <v>292790031</v>
      </c>
      <c r="K34" s="1756">
        <f t="shared" ref="K34:L34" si="5">K21+K24+K27+K28</f>
        <v>305965582.39499998</v>
      </c>
      <c r="L34" s="1756">
        <f t="shared" si="5"/>
        <v>319122102.43798494</v>
      </c>
      <c r="M34" s="1722">
        <v>0</v>
      </c>
      <c r="N34" s="470">
        <v>0</v>
      </c>
      <c r="O34" s="1741">
        <v>0</v>
      </c>
      <c r="R34" s="423"/>
    </row>
    <row r="35" spans="1:18" ht="30" hidden="1">
      <c r="A35" s="1097" t="s">
        <v>161</v>
      </c>
      <c r="B35" s="233" t="s">
        <v>440</v>
      </c>
      <c r="C35" s="1689" t="s">
        <v>32</v>
      </c>
      <c r="D35" s="1611"/>
      <c r="E35" s="1702"/>
      <c r="F35" s="1716"/>
      <c r="G35" s="1702"/>
      <c r="H35" s="2035"/>
      <c r="I35" s="2035"/>
      <c r="J35" s="1753"/>
      <c r="K35" s="1753"/>
      <c r="L35" s="1753"/>
      <c r="M35" s="1049"/>
      <c r="N35" s="427"/>
      <c r="O35" s="1032"/>
    </row>
    <row r="36" spans="1:18" ht="30" hidden="1">
      <c r="A36" s="1742" t="s">
        <v>441</v>
      </c>
      <c r="B36" s="463" t="s">
        <v>442</v>
      </c>
      <c r="C36" s="1690" t="s">
        <v>32</v>
      </c>
      <c r="D36" s="1709">
        <v>0</v>
      </c>
      <c r="E36" s="1710"/>
      <c r="F36" s="1733"/>
      <c r="G36" s="1710"/>
      <c r="H36" s="2039"/>
      <c r="I36" s="2039"/>
      <c r="J36" s="1757"/>
      <c r="K36" s="1757"/>
      <c r="L36" s="1757"/>
      <c r="M36" s="1072"/>
      <c r="N36" s="418"/>
      <c r="O36" s="1079"/>
    </row>
    <row r="37" spans="1:18" ht="45" hidden="1">
      <c r="A37" s="1743" t="s">
        <v>443</v>
      </c>
      <c r="B37" s="234" t="s">
        <v>444</v>
      </c>
      <c r="C37" s="656" t="s">
        <v>32</v>
      </c>
      <c r="D37" s="1711">
        <v>0</v>
      </c>
      <c r="E37" s="1700"/>
      <c r="F37" s="1720"/>
      <c r="G37" s="1700"/>
      <c r="H37" s="2033"/>
      <c r="I37" s="2033"/>
      <c r="J37" s="1758"/>
      <c r="K37" s="1758"/>
      <c r="L37" s="1758"/>
      <c r="M37" s="1723"/>
      <c r="N37" s="461"/>
      <c r="O37" s="1744"/>
    </row>
    <row r="38" spans="1:18" ht="30" hidden="1">
      <c r="A38" s="1277" t="s">
        <v>445</v>
      </c>
      <c r="B38" s="236" t="s">
        <v>446</v>
      </c>
      <c r="C38" s="656" t="s">
        <v>32</v>
      </c>
      <c r="D38" s="1711">
        <v>0</v>
      </c>
      <c r="E38" s="1700">
        <v>4861100.0599999996</v>
      </c>
      <c r="F38" s="1720">
        <f>E38*1.06</f>
        <v>5152766.0636</v>
      </c>
      <c r="G38" s="1700">
        <v>5347210.07</v>
      </c>
      <c r="H38" s="2033"/>
      <c r="I38" s="2033"/>
      <c r="J38" s="1758">
        <f>G38*J16</f>
        <v>5614570.5735000009</v>
      </c>
      <c r="K38" s="1758">
        <f>J38*1.045</f>
        <v>5867226.2493075002</v>
      </c>
      <c r="L38" s="1758">
        <f>K38*1.043</f>
        <v>6119516.9780277219</v>
      </c>
      <c r="M38" s="1723"/>
      <c r="N38" s="461"/>
      <c r="O38" s="1744"/>
    </row>
    <row r="39" spans="1:18" ht="30" hidden="1">
      <c r="A39" s="1745" t="s">
        <v>447</v>
      </c>
      <c r="B39" s="357" t="s">
        <v>448</v>
      </c>
      <c r="C39" s="1691" t="s">
        <v>32</v>
      </c>
      <c r="D39" s="1712">
        <f>D34+D38</f>
        <v>152161390.69999999</v>
      </c>
      <c r="E39" s="1713">
        <f>E34+E38</f>
        <v>248802660.95999998</v>
      </c>
      <c r="F39" s="1734">
        <f>F34+F38</f>
        <v>294033740.78359997</v>
      </c>
      <c r="G39" s="1713">
        <f>G34+G38</f>
        <v>279636042.06999999</v>
      </c>
      <c r="H39" s="2040"/>
      <c r="I39" s="2040"/>
      <c r="J39" s="1759">
        <f>J34+J38</f>
        <v>298404601.57349998</v>
      </c>
      <c r="K39" s="1759">
        <f t="shared" ref="K39:L39" si="6">K34+K38</f>
        <v>311832808.64430749</v>
      </c>
      <c r="L39" s="1759">
        <f t="shared" si="6"/>
        <v>325241619.41601264</v>
      </c>
      <c r="M39" s="1724">
        <v>0</v>
      </c>
      <c r="N39" s="469">
        <v>0</v>
      </c>
      <c r="O39" s="1746">
        <v>0</v>
      </c>
    </row>
    <row r="40" spans="1:18" hidden="1">
      <c r="A40" s="1745" t="s">
        <v>449</v>
      </c>
      <c r="B40" s="357" t="s">
        <v>376</v>
      </c>
      <c r="C40" s="1691" t="s">
        <v>32</v>
      </c>
      <c r="D40" s="1712">
        <v>45952740</v>
      </c>
      <c r="E40" s="1713">
        <f>E39*0.302</f>
        <v>75138403.609919995</v>
      </c>
      <c r="F40" s="1734">
        <f>F39*0.302</f>
        <v>88798189.716647193</v>
      </c>
      <c r="G40" s="1713">
        <f>G39*0.302</f>
        <v>84450084.705139995</v>
      </c>
      <c r="H40" s="2040"/>
      <c r="I40" s="2040"/>
      <c r="J40" s="1759">
        <f>J39*0.302</f>
        <v>90118189.67519699</v>
      </c>
      <c r="K40" s="1759">
        <f t="shared" ref="K40:L40" si="7">K39*0.302</f>
        <v>94173508.210580856</v>
      </c>
      <c r="L40" s="1759">
        <f t="shared" si="7"/>
        <v>98222969.063635811</v>
      </c>
      <c r="M40" s="1724"/>
      <c r="N40" s="469"/>
      <c r="O40" s="1746"/>
    </row>
    <row r="41" spans="1:18" hidden="1">
      <c r="A41" s="1747"/>
      <c r="B41" s="464" t="s">
        <v>450</v>
      </c>
      <c r="C41" s="1692"/>
      <c r="D41" s="1714"/>
      <c r="E41" s="1700"/>
      <c r="F41" s="1714"/>
      <c r="G41" s="1735"/>
      <c r="H41" s="2041"/>
      <c r="I41" s="2041"/>
      <c r="J41" s="1760"/>
      <c r="K41" s="1760"/>
      <c r="L41" s="1760"/>
      <c r="M41" s="1695"/>
      <c r="N41" s="462"/>
      <c r="O41" s="1735"/>
    </row>
    <row r="42" spans="1:18" ht="45" hidden="1">
      <c r="A42" s="999" t="s">
        <v>147</v>
      </c>
      <c r="B42" s="229" t="s">
        <v>406</v>
      </c>
      <c r="C42" s="655" t="s">
        <v>407</v>
      </c>
      <c r="D42" s="1604"/>
      <c r="E42" s="1699">
        <v>35</v>
      </c>
      <c r="F42" s="1730"/>
      <c r="G42" s="1699">
        <v>33</v>
      </c>
      <c r="H42" s="2032"/>
      <c r="I42" s="2032"/>
      <c r="J42" s="1750">
        <v>35</v>
      </c>
      <c r="K42" s="1750">
        <v>35</v>
      </c>
      <c r="L42" s="1750">
        <v>35</v>
      </c>
      <c r="M42" s="1725"/>
      <c r="N42" s="467"/>
      <c r="O42" s="1737"/>
    </row>
    <row r="43" spans="1:18" hidden="1">
      <c r="A43" s="999" t="s">
        <v>148</v>
      </c>
      <c r="B43" s="229" t="s">
        <v>408</v>
      </c>
      <c r="C43" s="655"/>
      <c r="D43" s="1604"/>
      <c r="E43" s="1700"/>
      <c r="F43" s="1720"/>
      <c r="G43" s="1700"/>
      <c r="H43" s="2033"/>
      <c r="I43" s="2033"/>
      <c r="J43" s="1751"/>
      <c r="K43" s="1751"/>
      <c r="L43" s="1751"/>
      <c r="M43" s="1034"/>
      <c r="N43" s="416"/>
      <c r="O43" s="1030"/>
    </row>
    <row r="44" spans="1:18" ht="30" hidden="1">
      <c r="A44" s="538" t="s">
        <v>159</v>
      </c>
      <c r="B44" s="34" t="s">
        <v>409</v>
      </c>
      <c r="C44" s="655" t="s">
        <v>291</v>
      </c>
      <c r="D44" s="1604"/>
      <c r="E44" s="1700">
        <v>4771</v>
      </c>
      <c r="F44" s="1720"/>
      <c r="G44" s="1700">
        <v>5040</v>
      </c>
      <c r="H44" s="2033"/>
      <c r="I44" s="2033"/>
      <c r="J44" s="1751">
        <v>5040</v>
      </c>
      <c r="K44" s="1751">
        <v>5040</v>
      </c>
      <c r="L44" s="1751">
        <v>5040</v>
      </c>
      <c r="M44" s="1034"/>
      <c r="N44" s="416"/>
      <c r="O44" s="1030"/>
    </row>
    <row r="45" spans="1:18" ht="45" hidden="1">
      <c r="A45" s="538" t="s">
        <v>410</v>
      </c>
      <c r="B45" s="34" t="s">
        <v>324</v>
      </c>
      <c r="C45" s="655"/>
      <c r="D45" s="1604"/>
      <c r="E45" s="1700"/>
      <c r="F45" s="1720"/>
      <c r="G45" s="1700"/>
      <c r="H45" s="2033"/>
      <c r="I45" s="2033"/>
      <c r="J45" s="1751"/>
      <c r="K45" s="1751"/>
      <c r="L45" s="1751"/>
      <c r="M45" s="1034"/>
      <c r="N45" s="416"/>
      <c r="O45" s="1030"/>
    </row>
    <row r="46" spans="1:18" hidden="1">
      <c r="A46" s="538"/>
      <c r="B46" s="34" t="s">
        <v>624</v>
      </c>
      <c r="C46" s="655"/>
      <c r="D46" s="1604"/>
      <c r="E46" s="1700">
        <f>E42*12*E49</f>
        <v>4091220</v>
      </c>
      <c r="F46" s="1720"/>
      <c r="G46" s="1700">
        <f>G49*12*G42</f>
        <v>4465296</v>
      </c>
      <c r="H46" s="2033"/>
      <c r="I46" s="2033"/>
      <c r="J46" s="1751">
        <f>J49*12*J42</f>
        <v>4972716</v>
      </c>
      <c r="K46" s="1751">
        <f t="shared" ref="K46:L46" si="8">K49*12*K42</f>
        <v>5196488.22</v>
      </c>
      <c r="L46" s="1751">
        <f t="shared" si="8"/>
        <v>5419937.2134600002</v>
      </c>
      <c r="M46" s="1034"/>
      <c r="N46" s="416"/>
      <c r="O46" s="1030"/>
    </row>
    <row r="47" spans="1:18" ht="45" hidden="1">
      <c r="A47" s="538" t="s">
        <v>411</v>
      </c>
      <c r="B47" s="34" t="s">
        <v>412</v>
      </c>
      <c r="C47" s="655" t="s">
        <v>291</v>
      </c>
      <c r="D47" s="1604">
        <v>0</v>
      </c>
      <c r="E47" s="1700">
        <v>0</v>
      </c>
      <c r="F47" s="1720">
        <v>0</v>
      </c>
      <c r="G47" s="1700">
        <v>0</v>
      </c>
      <c r="H47" s="2033"/>
      <c r="I47" s="2033"/>
      <c r="J47" s="1751">
        <v>0</v>
      </c>
      <c r="K47" s="1751"/>
      <c r="L47" s="1751"/>
      <c r="M47" s="1034">
        <v>0</v>
      </c>
      <c r="N47" s="416">
        <v>0</v>
      </c>
      <c r="O47" s="1030">
        <v>0</v>
      </c>
    </row>
    <row r="48" spans="1:18" ht="30" hidden="1">
      <c r="A48" s="538" t="s">
        <v>413</v>
      </c>
      <c r="B48" s="34" t="s">
        <v>414</v>
      </c>
      <c r="C48" s="655"/>
      <c r="D48" s="1604"/>
      <c r="E48" s="1700">
        <v>1.4</v>
      </c>
      <c r="F48" s="1720"/>
      <c r="G48" s="1700">
        <v>1.4</v>
      </c>
      <c r="H48" s="2033"/>
      <c r="I48" s="2033"/>
      <c r="J48" s="1751">
        <v>1.4</v>
      </c>
      <c r="K48" s="1751">
        <v>1.4</v>
      </c>
      <c r="L48" s="1751">
        <v>1.4</v>
      </c>
      <c r="M48" s="1034"/>
      <c r="N48" s="416"/>
      <c r="O48" s="1030"/>
    </row>
    <row r="49" spans="1:15" ht="30" hidden="1">
      <c r="A49" s="538" t="s">
        <v>415</v>
      </c>
      <c r="B49" s="34" t="s">
        <v>416</v>
      </c>
      <c r="C49" s="655" t="s">
        <v>291</v>
      </c>
      <c r="D49" s="1604">
        <v>0</v>
      </c>
      <c r="E49" s="1700">
        <v>9741</v>
      </c>
      <c r="F49" s="1720">
        <v>0</v>
      </c>
      <c r="G49" s="1700">
        <v>11276</v>
      </c>
      <c r="H49" s="2033"/>
      <c r="I49" s="2033"/>
      <c r="J49" s="1751">
        <f>G49*J16</f>
        <v>11839.800000000001</v>
      </c>
      <c r="K49" s="1751">
        <f>J49*1.045</f>
        <v>12372.591</v>
      </c>
      <c r="L49" s="1751">
        <f>K49*1.043</f>
        <v>12904.612412999999</v>
      </c>
      <c r="M49" s="1034">
        <v>0</v>
      </c>
      <c r="N49" s="416">
        <v>0</v>
      </c>
      <c r="O49" s="1030">
        <v>0</v>
      </c>
    </row>
    <row r="50" spans="1:15" ht="75" hidden="1">
      <c r="A50" s="1031" t="s">
        <v>417</v>
      </c>
      <c r="B50" s="230" t="s">
        <v>418</v>
      </c>
      <c r="C50" s="1688" t="s">
        <v>291</v>
      </c>
      <c r="D50" s="1611"/>
      <c r="E50" s="1702">
        <f>E44*E48</f>
        <v>6679.4</v>
      </c>
      <c r="F50" s="1716"/>
      <c r="G50" s="1702">
        <f>G44*G48</f>
        <v>7056</v>
      </c>
      <c r="H50" s="2035"/>
      <c r="I50" s="2035"/>
      <c r="J50" s="1753">
        <f>J44*J48</f>
        <v>7056</v>
      </c>
      <c r="K50" s="1753">
        <f t="shared" ref="K50:L50" si="9">K44*K48</f>
        <v>7056</v>
      </c>
      <c r="L50" s="1753">
        <f t="shared" si="9"/>
        <v>7056</v>
      </c>
      <c r="M50" s="1049"/>
      <c r="N50" s="427"/>
      <c r="O50" s="1032"/>
    </row>
    <row r="51" spans="1:15" ht="60" hidden="1">
      <c r="A51" s="1097" t="s">
        <v>419</v>
      </c>
      <c r="B51" s="231" t="s">
        <v>420</v>
      </c>
      <c r="C51" s="1688"/>
      <c r="D51" s="1611"/>
      <c r="E51" s="1702">
        <v>1394</v>
      </c>
      <c r="F51" s="1716"/>
      <c r="G51" s="1702">
        <v>1751</v>
      </c>
      <c r="H51" s="2035"/>
      <c r="I51" s="2035"/>
      <c r="J51" s="1753">
        <f>G51*J16</f>
        <v>1838.5500000000002</v>
      </c>
      <c r="K51" s="1753">
        <f>J51*1.045</f>
        <v>1921.28475</v>
      </c>
      <c r="L51" s="1753">
        <f>K51*1.043</f>
        <v>2003.89999425</v>
      </c>
      <c r="M51" s="1049"/>
      <c r="N51" s="427"/>
      <c r="O51" s="1032"/>
    </row>
    <row r="52" spans="1:15" hidden="1">
      <c r="A52" s="1031" t="s">
        <v>421</v>
      </c>
      <c r="B52" s="247" t="s">
        <v>422</v>
      </c>
      <c r="C52" s="1688" t="s">
        <v>280</v>
      </c>
      <c r="D52" s="1611"/>
      <c r="E52" s="1704">
        <v>0.14000000000000001</v>
      </c>
      <c r="F52" s="1717"/>
      <c r="G52" s="1704">
        <f>G53/G46</f>
        <v>0.1552855622561192</v>
      </c>
      <c r="H52" s="2036"/>
      <c r="I52" s="2036"/>
      <c r="J52" s="1754">
        <f>J53/J46</f>
        <v>0.15528556225611923</v>
      </c>
      <c r="K52" s="1754">
        <f t="shared" ref="K52:L52" si="10">K53/K46</f>
        <v>0.1552855622561192</v>
      </c>
      <c r="L52" s="1754">
        <f t="shared" si="10"/>
        <v>0.1552855622561192</v>
      </c>
      <c r="M52" s="1765"/>
      <c r="N52" s="465"/>
      <c r="O52" s="1739"/>
    </row>
    <row r="53" spans="1:15" hidden="1">
      <c r="A53" s="1031" t="s">
        <v>423</v>
      </c>
      <c r="B53" s="247" t="s">
        <v>424</v>
      </c>
      <c r="C53" s="1688" t="s">
        <v>291</v>
      </c>
      <c r="D53" s="1611"/>
      <c r="E53" s="1702">
        <f>E51*E42*12</f>
        <v>585480</v>
      </c>
      <c r="F53" s="1716"/>
      <c r="G53" s="1702">
        <f>G51*12*G42</f>
        <v>693396</v>
      </c>
      <c r="H53" s="2035"/>
      <c r="I53" s="2035"/>
      <c r="J53" s="1753">
        <f>J51*J42*12</f>
        <v>772191.00000000012</v>
      </c>
      <c r="K53" s="1753">
        <f t="shared" ref="K53:L53" si="11">K51*K42*12</f>
        <v>806939.59499999997</v>
      </c>
      <c r="L53" s="1753">
        <f t="shared" si="11"/>
        <v>841637.997585</v>
      </c>
      <c r="M53" s="1049"/>
      <c r="N53" s="427"/>
      <c r="O53" s="1032"/>
    </row>
    <row r="54" spans="1:15" ht="30" hidden="1">
      <c r="A54" s="1097" t="s">
        <v>425</v>
      </c>
      <c r="B54" s="231" t="s">
        <v>426</v>
      </c>
      <c r="C54" s="1688"/>
      <c r="D54" s="1611"/>
      <c r="E54" s="1702"/>
      <c r="F54" s="1716"/>
      <c r="G54" s="1702"/>
      <c r="H54" s="2035"/>
      <c r="I54" s="2035"/>
      <c r="J54" s="1753"/>
      <c r="K54" s="1753"/>
      <c r="L54" s="1753"/>
      <c r="M54" s="1049"/>
      <c r="N54" s="427"/>
      <c r="O54" s="1032"/>
    </row>
    <row r="55" spans="1:15" hidden="1">
      <c r="A55" s="1031" t="s">
        <v>427</v>
      </c>
      <c r="B55" s="247" t="s">
        <v>422</v>
      </c>
      <c r="C55" s="1688" t="s">
        <v>280</v>
      </c>
      <c r="D55" s="1611"/>
      <c r="E55" s="1704">
        <v>0.42</v>
      </c>
      <c r="F55" s="1717"/>
      <c r="G55" s="1704">
        <f>G56/G46</f>
        <v>0.43</v>
      </c>
      <c r="H55" s="2036"/>
      <c r="I55" s="2036"/>
      <c r="J55" s="1754">
        <f>J56/J46</f>
        <v>0.43</v>
      </c>
      <c r="K55" s="1754">
        <f t="shared" ref="K55:L55" si="12">K56/K46</f>
        <v>0.43</v>
      </c>
      <c r="L55" s="1754">
        <f t="shared" si="12"/>
        <v>0.42999999999999994</v>
      </c>
      <c r="M55" s="1765"/>
      <c r="N55" s="465"/>
      <c r="O55" s="1739"/>
    </row>
    <row r="56" spans="1:15" hidden="1">
      <c r="A56" s="1031" t="s">
        <v>428</v>
      </c>
      <c r="B56" s="247" t="s">
        <v>424</v>
      </c>
      <c r="C56" s="1688" t="s">
        <v>291</v>
      </c>
      <c r="D56" s="1611"/>
      <c r="E56" s="1702">
        <v>1736676.6</v>
      </c>
      <c r="F56" s="1716"/>
      <c r="G56" s="1702">
        <f>G46*0.43</f>
        <v>1920077.28</v>
      </c>
      <c r="H56" s="2035"/>
      <c r="I56" s="2035"/>
      <c r="J56" s="1753">
        <f>J46*0.43</f>
        <v>2138267.88</v>
      </c>
      <c r="K56" s="1753">
        <f t="shared" ref="K56:L56" si="13">K46*0.43</f>
        <v>2234489.9345999998</v>
      </c>
      <c r="L56" s="1753">
        <f t="shared" si="13"/>
        <v>2330573.0017877999</v>
      </c>
      <c r="M56" s="1049"/>
      <c r="N56" s="427"/>
      <c r="O56" s="1032"/>
    </row>
    <row r="57" spans="1:15" ht="60" hidden="1">
      <c r="A57" s="1097" t="s">
        <v>429</v>
      </c>
      <c r="B57" s="231" t="s">
        <v>430</v>
      </c>
      <c r="C57" s="1688"/>
      <c r="D57" s="1611"/>
      <c r="E57" s="1702">
        <v>1422526.92</v>
      </c>
      <c r="F57" s="1716"/>
      <c r="G57" s="1702">
        <f>G46*0.35</f>
        <v>1562853.5999999999</v>
      </c>
      <c r="H57" s="2035"/>
      <c r="I57" s="2035"/>
      <c r="J57" s="1753">
        <f>J46*0.35</f>
        <v>1740450.5999999999</v>
      </c>
      <c r="K57" s="1753">
        <f t="shared" ref="K57:L57" si="14">K46*0.35</f>
        <v>1818770.8769999999</v>
      </c>
      <c r="L57" s="1753">
        <f t="shared" si="14"/>
        <v>1896978.024711</v>
      </c>
      <c r="M57" s="1049"/>
      <c r="N57" s="427"/>
      <c r="O57" s="1032"/>
    </row>
    <row r="58" spans="1:15" hidden="1">
      <c r="A58" s="1031" t="s">
        <v>431</v>
      </c>
      <c r="B58" s="247" t="s">
        <v>422</v>
      </c>
      <c r="C58" s="1688" t="s">
        <v>280</v>
      </c>
      <c r="D58" s="1611"/>
      <c r="E58" s="1704">
        <v>0.35</v>
      </c>
      <c r="F58" s="1717"/>
      <c r="G58" s="1704">
        <f>G57/G46</f>
        <v>0.35</v>
      </c>
      <c r="H58" s="2036"/>
      <c r="I58" s="2036"/>
      <c r="J58" s="1754">
        <f>J57/J46</f>
        <v>0.35</v>
      </c>
      <c r="K58" s="1754">
        <f t="shared" ref="K58:L58" si="15">K57/K46</f>
        <v>0.35</v>
      </c>
      <c r="L58" s="1754">
        <f t="shared" si="15"/>
        <v>0.35</v>
      </c>
      <c r="M58" s="1765"/>
      <c r="N58" s="465"/>
      <c r="O58" s="1739"/>
    </row>
    <row r="59" spans="1:15" hidden="1">
      <c r="A59" s="1031" t="s">
        <v>432</v>
      </c>
      <c r="B59" s="247" t="s">
        <v>424</v>
      </c>
      <c r="C59" s="1688" t="s">
        <v>291</v>
      </c>
      <c r="D59" s="1611"/>
      <c r="E59" s="1702">
        <v>177604.11</v>
      </c>
      <c r="F59" s="1716"/>
      <c r="G59" s="1702">
        <f>G57*0.12</f>
        <v>187542.43199999997</v>
      </c>
      <c r="H59" s="2035"/>
      <c r="I59" s="2035"/>
      <c r="J59" s="1753">
        <f>J57*0.13</f>
        <v>226258.57799999998</v>
      </c>
      <c r="K59" s="1753">
        <f t="shared" ref="K59:L59" si="16">K57*0.13</f>
        <v>236440.21401</v>
      </c>
      <c r="L59" s="1753">
        <f t="shared" si="16"/>
        <v>246607.14321243</v>
      </c>
      <c r="M59" s="1049"/>
      <c r="N59" s="427"/>
      <c r="O59" s="1032"/>
    </row>
    <row r="60" spans="1:15" hidden="1">
      <c r="A60" s="1031" t="s">
        <v>433</v>
      </c>
      <c r="B60" s="247" t="s">
        <v>259</v>
      </c>
      <c r="C60" s="1688" t="s">
        <v>291</v>
      </c>
      <c r="D60" s="1611"/>
      <c r="E60" s="1702">
        <v>1244922.81</v>
      </c>
      <c r="F60" s="1716"/>
      <c r="G60" s="1702">
        <f>G57*0.88</f>
        <v>1375311.1679999998</v>
      </c>
      <c r="H60" s="2035"/>
      <c r="I60" s="2035"/>
      <c r="J60" s="1753">
        <f>J57*0.87</f>
        <v>1514192.0219999999</v>
      </c>
      <c r="K60" s="1753">
        <f t="shared" ref="K60:L60" si="17">K57*0.87</f>
        <v>1582330.6629899999</v>
      </c>
      <c r="L60" s="1753">
        <f t="shared" si="17"/>
        <v>1650370.8814985701</v>
      </c>
      <c r="M60" s="1049"/>
      <c r="N60" s="427"/>
      <c r="O60" s="1032"/>
    </row>
    <row r="61" spans="1:15" hidden="1">
      <c r="A61" s="1031" t="s">
        <v>434</v>
      </c>
      <c r="B61" s="247" t="s">
        <v>435</v>
      </c>
      <c r="C61" s="1688" t="s">
        <v>291</v>
      </c>
      <c r="D61" s="1611"/>
      <c r="E61" s="1702">
        <v>0</v>
      </c>
      <c r="F61" s="1716"/>
      <c r="G61" s="1702"/>
      <c r="H61" s="2035"/>
      <c r="I61" s="2035"/>
      <c r="J61" s="1753"/>
      <c r="K61" s="1753"/>
      <c r="L61" s="1753"/>
      <c r="M61" s="1049"/>
      <c r="N61" s="427"/>
      <c r="O61" s="1032"/>
    </row>
    <row r="62" spans="1:15" ht="60" hidden="1">
      <c r="A62" s="1097" t="s">
        <v>436</v>
      </c>
      <c r="B62" s="231" t="s">
        <v>437</v>
      </c>
      <c r="C62" s="1688" t="s">
        <v>291</v>
      </c>
      <c r="D62" s="1611">
        <v>0</v>
      </c>
      <c r="E62" s="1702">
        <f>E63/E42/12</f>
        <v>18656.913142857142</v>
      </c>
      <c r="F62" s="1716">
        <v>0</v>
      </c>
      <c r="G62" s="1702">
        <f>G63/G42/12</f>
        <v>21822.280000000002</v>
      </c>
      <c r="H62" s="2035"/>
      <c r="I62" s="2035"/>
      <c r="J62" s="1753">
        <f>J63/J42/12</f>
        <v>22913.394</v>
      </c>
      <c r="K62" s="1753">
        <f t="shared" ref="K62:L62" si="18">K63/K42/12</f>
        <v>23944.496729999999</v>
      </c>
      <c r="L62" s="1753">
        <f t="shared" si="18"/>
        <v>24974.11008939</v>
      </c>
      <c r="M62" s="1049">
        <v>0</v>
      </c>
      <c r="N62" s="427">
        <v>0</v>
      </c>
      <c r="O62" s="1032">
        <v>0</v>
      </c>
    </row>
    <row r="63" spans="1:15" hidden="1">
      <c r="A63" s="1097" t="s">
        <v>438</v>
      </c>
      <c r="B63" s="231" t="s">
        <v>439</v>
      </c>
      <c r="C63" s="1688" t="s">
        <v>32</v>
      </c>
      <c r="D63" s="1611">
        <v>0</v>
      </c>
      <c r="E63" s="1702">
        <v>7835903.5199999996</v>
      </c>
      <c r="F63" s="1716">
        <v>0</v>
      </c>
      <c r="G63" s="1702">
        <f>G46+G53+G56+G57</f>
        <v>8641622.8800000008</v>
      </c>
      <c r="H63" s="2035"/>
      <c r="I63" s="2035"/>
      <c r="J63" s="1753">
        <f>J46+J53+J56+J57</f>
        <v>9623625.4800000004</v>
      </c>
      <c r="K63" s="1753">
        <f t="shared" ref="K63:L63" si="19">K46+K53+K56+K57</f>
        <v>10056688.626599999</v>
      </c>
      <c r="L63" s="1753">
        <f t="shared" si="19"/>
        <v>10489126.237543801</v>
      </c>
      <c r="M63" s="1049">
        <v>0</v>
      </c>
      <c r="N63" s="427">
        <v>0</v>
      </c>
      <c r="O63" s="1032">
        <v>0</v>
      </c>
    </row>
    <row r="64" spans="1:15" ht="30" hidden="1">
      <c r="A64" s="1097" t="s">
        <v>161</v>
      </c>
      <c r="B64" s="233" t="s">
        <v>440</v>
      </c>
      <c r="C64" s="1689" t="s">
        <v>32</v>
      </c>
      <c r="D64" s="1611"/>
      <c r="E64" s="1702"/>
      <c r="F64" s="1716"/>
      <c r="G64" s="1702"/>
      <c r="H64" s="2035"/>
      <c r="I64" s="2035"/>
      <c r="J64" s="1753"/>
      <c r="K64" s="1753"/>
      <c r="L64" s="1753"/>
      <c r="M64" s="1049"/>
      <c r="N64" s="427"/>
      <c r="O64" s="1032"/>
    </row>
    <row r="65" spans="1:19" ht="30" hidden="1">
      <c r="A65" s="1742" t="s">
        <v>441</v>
      </c>
      <c r="B65" s="463" t="s">
        <v>442</v>
      </c>
      <c r="C65" s="1690" t="s">
        <v>32</v>
      </c>
      <c r="D65" s="1709"/>
      <c r="E65" s="1710">
        <v>0</v>
      </c>
      <c r="F65" s="1733"/>
      <c r="G65" s="1710"/>
      <c r="H65" s="2039"/>
      <c r="I65" s="2039"/>
      <c r="J65" s="1757"/>
      <c r="K65" s="1757"/>
      <c r="L65" s="1757"/>
      <c r="M65" s="1072"/>
      <c r="N65" s="418"/>
      <c r="O65" s="1079"/>
    </row>
    <row r="66" spans="1:19" ht="45" hidden="1">
      <c r="A66" s="1743" t="s">
        <v>443</v>
      </c>
      <c r="B66" s="234" t="s">
        <v>444</v>
      </c>
      <c r="C66" s="656" t="s">
        <v>32</v>
      </c>
      <c r="D66" s="1711"/>
      <c r="E66" s="1700">
        <v>0</v>
      </c>
      <c r="F66" s="1720"/>
      <c r="G66" s="1700"/>
      <c r="H66" s="2033"/>
      <c r="I66" s="2033"/>
      <c r="J66" s="1758"/>
      <c r="K66" s="1758"/>
      <c r="L66" s="1758"/>
      <c r="M66" s="1723"/>
      <c r="N66" s="461"/>
      <c r="O66" s="1744"/>
    </row>
    <row r="67" spans="1:19" ht="30" hidden="1">
      <c r="A67" s="1277" t="s">
        <v>445</v>
      </c>
      <c r="B67" s="236" t="s">
        <v>446</v>
      </c>
      <c r="C67" s="656" t="s">
        <v>32</v>
      </c>
      <c r="D67" s="1711"/>
      <c r="E67" s="1700">
        <v>150343.29999999999</v>
      </c>
      <c r="F67" s="1720"/>
      <c r="G67" s="1700">
        <v>165377.63</v>
      </c>
      <c r="H67" s="2033"/>
      <c r="I67" s="2033"/>
      <c r="J67" s="1758">
        <f>G67*1.05</f>
        <v>173646.51150000002</v>
      </c>
      <c r="K67" s="1758">
        <f>J67*1.045</f>
        <v>181460.6045175</v>
      </c>
      <c r="L67" s="1758">
        <f>K67*1.043</f>
        <v>189263.4105117525</v>
      </c>
      <c r="M67" s="1723"/>
      <c r="N67" s="461"/>
      <c r="O67" s="1744"/>
    </row>
    <row r="68" spans="1:19" ht="30" hidden="1">
      <c r="A68" s="1745" t="s">
        <v>447</v>
      </c>
      <c r="B68" s="357" t="s">
        <v>448</v>
      </c>
      <c r="C68" s="1691" t="s">
        <v>32</v>
      </c>
      <c r="D68" s="1711">
        <v>0</v>
      </c>
      <c r="E68" s="1700">
        <f>E63+E67</f>
        <v>7986246.8199999994</v>
      </c>
      <c r="F68" s="1720">
        <v>0</v>
      </c>
      <c r="G68" s="1700">
        <f>G63+G67</f>
        <v>8807000.5100000016</v>
      </c>
      <c r="H68" s="2033"/>
      <c r="I68" s="2033"/>
      <c r="J68" s="1758">
        <f>J63+J67</f>
        <v>9797271.9915000014</v>
      </c>
      <c r="K68" s="1758">
        <f t="shared" ref="K68:L68" si="20">K63+K67</f>
        <v>10238149.2311175</v>
      </c>
      <c r="L68" s="1758">
        <f t="shared" si="20"/>
        <v>10678389.648055553</v>
      </c>
      <c r="M68" s="1723">
        <v>0</v>
      </c>
      <c r="N68" s="461">
        <v>0</v>
      </c>
      <c r="O68" s="1744">
        <v>0</v>
      </c>
    </row>
    <row r="69" spans="1:19" hidden="1">
      <c r="A69" s="1745" t="s">
        <v>449</v>
      </c>
      <c r="B69" s="357" t="s">
        <v>376</v>
      </c>
      <c r="C69" s="1691" t="s">
        <v>32</v>
      </c>
      <c r="D69" s="1711"/>
      <c r="E69" s="1700">
        <f>E68*0.302</f>
        <v>2411846.5396399996</v>
      </c>
      <c r="F69" s="1720"/>
      <c r="G69" s="1700">
        <f>G68*0.302</f>
        <v>2659714.1540200002</v>
      </c>
      <c r="H69" s="2033"/>
      <c r="I69" s="2033"/>
      <c r="J69" s="1758">
        <f>J68*0.302</f>
        <v>2958776.1414330006</v>
      </c>
      <c r="K69" s="1758">
        <f t="shared" ref="K69:L69" si="21">K68*0.302</f>
        <v>3091921.0677974848</v>
      </c>
      <c r="L69" s="1758">
        <f t="shared" si="21"/>
        <v>3224873.673712777</v>
      </c>
      <c r="M69" s="1723"/>
      <c r="N69" s="461"/>
      <c r="O69" s="1744"/>
    </row>
    <row r="70" spans="1:19" ht="30">
      <c r="A70" s="1728"/>
      <c r="B70" s="464" t="s">
        <v>451</v>
      </c>
      <c r="C70" s="228"/>
      <c r="D70" s="1714"/>
      <c r="E70" s="1735"/>
      <c r="F70" s="1714"/>
      <c r="G70" s="1735"/>
      <c r="H70" s="2041"/>
      <c r="I70" s="2041"/>
      <c r="J70" s="1760"/>
      <c r="K70" s="1760"/>
      <c r="L70" s="1760"/>
      <c r="M70" s="1695"/>
      <c r="N70" s="462"/>
      <c r="O70" s="1735"/>
    </row>
    <row r="71" spans="1:19" ht="45">
      <c r="A71" s="999" t="s">
        <v>147</v>
      </c>
      <c r="B71" s="229" t="s">
        <v>406</v>
      </c>
      <c r="C71" s="655" t="s">
        <v>407</v>
      </c>
      <c r="D71" s="1604">
        <v>68</v>
      </c>
      <c r="E71" s="1700">
        <v>60</v>
      </c>
      <c r="F71" s="1720">
        <v>68</v>
      </c>
      <c r="G71" s="1700">
        <v>63</v>
      </c>
      <c r="H71" s="2033">
        <v>60</v>
      </c>
      <c r="I71" s="2033">
        <v>61</v>
      </c>
      <c r="J71" s="1751">
        <v>63</v>
      </c>
      <c r="K71" s="1751">
        <v>63</v>
      </c>
      <c r="L71" s="1751">
        <v>63</v>
      </c>
      <c r="M71" s="1034"/>
      <c r="N71" s="416"/>
      <c r="O71" s="1030"/>
    </row>
    <row r="72" spans="1:19">
      <c r="A72" s="999" t="s">
        <v>148</v>
      </c>
      <c r="B72" s="229" t="s">
        <v>408</v>
      </c>
      <c r="C72" s="655"/>
      <c r="D72" s="1604"/>
      <c r="E72" s="1700"/>
      <c r="F72" s="1720"/>
      <c r="G72" s="1700"/>
      <c r="H72" s="2033"/>
      <c r="I72" s="2033"/>
      <c r="J72" s="1751"/>
      <c r="K72" s="1751"/>
      <c r="L72" s="1751"/>
      <c r="M72" s="1034"/>
      <c r="N72" s="416"/>
      <c r="O72" s="1030"/>
    </row>
    <row r="73" spans="1:19" ht="30">
      <c r="A73" s="538" t="s">
        <v>159</v>
      </c>
      <c r="B73" s="34" t="s">
        <v>409</v>
      </c>
      <c r="C73" s="655" t="s">
        <v>291</v>
      </c>
      <c r="D73" s="1604"/>
      <c r="E73" s="1700"/>
      <c r="F73" s="1720"/>
      <c r="G73" s="1700"/>
      <c r="H73" s="2033"/>
      <c r="I73" s="2033"/>
      <c r="J73" s="1751"/>
      <c r="K73" s="1751"/>
      <c r="L73" s="1751"/>
      <c r="M73" s="1034"/>
      <c r="N73" s="416"/>
      <c r="O73" s="1030"/>
    </row>
    <row r="74" spans="1:19" ht="45">
      <c r="A74" s="538" t="s">
        <v>410</v>
      </c>
      <c r="B74" s="471" t="s">
        <v>324</v>
      </c>
      <c r="C74" s="1687"/>
      <c r="D74" s="1701">
        <v>1.1267</v>
      </c>
      <c r="E74" s="1701"/>
      <c r="F74" s="1701">
        <v>1.1267</v>
      </c>
      <c r="G74" s="1731">
        <v>1.1267</v>
      </c>
      <c r="H74" s="2034">
        <v>1.1299999999999999</v>
      </c>
      <c r="I74" s="2034">
        <v>1.1299999999999999</v>
      </c>
      <c r="J74" s="1752">
        <v>1.05</v>
      </c>
      <c r="K74" s="1752">
        <v>1.0449999999999999</v>
      </c>
      <c r="L74" s="1752">
        <v>1.0429999999999999</v>
      </c>
      <c r="M74" s="1694"/>
      <c r="N74" s="472"/>
      <c r="O74" s="1731"/>
    </row>
    <row r="75" spans="1:19" ht="45">
      <c r="A75" s="538" t="s">
        <v>411</v>
      </c>
      <c r="B75" s="34" t="s">
        <v>412</v>
      </c>
      <c r="C75" s="655" t="s">
        <v>291</v>
      </c>
      <c r="D75" s="1604">
        <v>0</v>
      </c>
      <c r="E75" s="1700">
        <v>0</v>
      </c>
      <c r="F75" s="1720">
        <v>0</v>
      </c>
      <c r="G75" s="1700">
        <v>0</v>
      </c>
      <c r="H75" s="2033">
        <v>0</v>
      </c>
      <c r="I75" s="2033">
        <v>0</v>
      </c>
      <c r="J75" s="1751">
        <v>0</v>
      </c>
      <c r="K75" s="1753">
        <v>0</v>
      </c>
      <c r="L75" s="1753">
        <v>0</v>
      </c>
      <c r="M75" s="1034">
        <v>0</v>
      </c>
      <c r="N75" s="416">
        <v>0</v>
      </c>
      <c r="O75" s="1030">
        <v>0</v>
      </c>
      <c r="S75">
        <f>18420*12*64</f>
        <v>14146560</v>
      </c>
    </row>
    <row r="76" spans="1:19" ht="30">
      <c r="A76" s="538" t="s">
        <v>413</v>
      </c>
      <c r="B76" s="34" t="s">
        <v>414</v>
      </c>
      <c r="C76" s="655"/>
      <c r="D76" s="1604"/>
      <c r="E76" s="1700"/>
      <c r="F76" s="1720"/>
      <c r="G76" s="1700"/>
      <c r="H76" s="2033">
        <v>0</v>
      </c>
      <c r="I76" s="2033">
        <v>0</v>
      </c>
      <c r="J76" s="1751">
        <v>0</v>
      </c>
      <c r="K76" s="1751"/>
      <c r="L76" s="1751"/>
      <c r="M76" s="1034"/>
      <c r="N76" s="416"/>
      <c r="O76" s="1030"/>
    </row>
    <row r="77" spans="1:19" ht="30">
      <c r="A77" s="538" t="s">
        <v>415</v>
      </c>
      <c r="B77" s="34" t="s">
        <v>416</v>
      </c>
      <c r="C77" s="655" t="s">
        <v>291</v>
      </c>
      <c r="D77" s="1604">
        <v>20630.891680000001</v>
      </c>
      <c r="E77" s="1699">
        <v>24259.5</v>
      </c>
      <c r="F77" s="1730">
        <v>21230</v>
      </c>
      <c r="G77" s="1699">
        <v>25715</v>
      </c>
      <c r="H77" s="2032">
        <v>24230</v>
      </c>
      <c r="I77" s="2032">
        <v>24230</v>
      </c>
      <c r="J77" s="1750">
        <f>G77*1.05</f>
        <v>27000.75</v>
      </c>
      <c r="K77" s="1755">
        <f>J77*K74</f>
        <v>28215.783749999999</v>
      </c>
      <c r="L77" s="1755">
        <f>K77*1.043</f>
        <v>29429.062451249996</v>
      </c>
      <c r="M77" s="1725">
        <v>0</v>
      </c>
      <c r="N77" s="467">
        <v>0</v>
      </c>
      <c r="O77" s="1737">
        <v>0</v>
      </c>
    </row>
    <row r="78" spans="1:19">
      <c r="A78" s="1031"/>
      <c r="B78" s="247" t="s">
        <v>624</v>
      </c>
      <c r="C78" s="1688"/>
      <c r="D78" s="1715">
        <v>16834807.610880002</v>
      </c>
      <c r="E78" s="1706">
        <f>E71*12*E77</f>
        <v>17466840</v>
      </c>
      <c r="F78" s="1715">
        <f>F77*F71*12</f>
        <v>17323680</v>
      </c>
      <c r="G78" s="1706">
        <f>G77*G71*12</f>
        <v>19440540</v>
      </c>
      <c r="H78" s="1706">
        <f>H77*H71*6</f>
        <v>8722800</v>
      </c>
      <c r="I78" s="1706">
        <f>I77*I71*12</f>
        <v>17736360</v>
      </c>
      <c r="J78" s="1755">
        <f>J77*J71*12</f>
        <v>20412567</v>
      </c>
      <c r="K78" s="1755">
        <f t="shared" ref="K78:L78" si="22">K77*K71*12</f>
        <v>21331132.515000001</v>
      </c>
      <c r="L78" s="1755">
        <f t="shared" si="22"/>
        <v>22248371.213144999</v>
      </c>
      <c r="M78" s="1721"/>
      <c r="N78" s="466"/>
      <c r="O78" s="1740"/>
      <c r="P78" s="499"/>
      <c r="S78">
        <f>14146900/64/12</f>
        <v>18420.442708333332</v>
      </c>
    </row>
    <row r="79" spans="1:19" ht="59.25" customHeight="1">
      <c r="A79" s="1031" t="s">
        <v>417</v>
      </c>
      <c r="B79" s="230" t="s">
        <v>418</v>
      </c>
      <c r="C79" s="1688" t="s">
        <v>291</v>
      </c>
      <c r="D79" s="1716">
        <v>7056</v>
      </c>
      <c r="E79" s="1702">
        <v>6679</v>
      </c>
      <c r="F79" s="1716">
        <f>F15*F18</f>
        <v>7056</v>
      </c>
      <c r="G79" s="1702">
        <f>G15*G18</f>
        <v>7056</v>
      </c>
      <c r="H79" s="2035">
        <v>7056</v>
      </c>
      <c r="I79" s="2035">
        <v>7056</v>
      </c>
      <c r="J79" s="1753">
        <f>J15*J18</f>
        <v>7056</v>
      </c>
      <c r="K79" s="1753">
        <f t="shared" ref="K79:L79" si="23">K15*K18</f>
        <v>7056</v>
      </c>
      <c r="L79" s="1753">
        <f t="shared" si="23"/>
        <v>7056</v>
      </c>
      <c r="M79" s="1049"/>
      <c r="N79" s="427"/>
      <c r="O79" s="1032"/>
      <c r="P79" s="499"/>
    </row>
    <row r="80" spans="1:19" ht="60">
      <c r="A80" s="1097" t="s">
        <v>419</v>
      </c>
      <c r="B80" s="231" t="s">
        <v>420</v>
      </c>
      <c r="C80" s="1688"/>
      <c r="D80" s="1611">
        <v>1873</v>
      </c>
      <c r="E80" s="1702">
        <v>2364</v>
      </c>
      <c r="F80" s="1716">
        <v>2260</v>
      </c>
      <c r="G80" s="1702">
        <v>2506</v>
      </c>
      <c r="H80" s="2035">
        <v>2020</v>
      </c>
      <c r="I80" s="2035">
        <v>2150</v>
      </c>
      <c r="J80" s="1753">
        <f>I80*1.05</f>
        <v>2257.5</v>
      </c>
      <c r="K80" s="1753">
        <f>J80*K74</f>
        <v>2359.0874999999996</v>
      </c>
      <c r="L80" s="1753">
        <f>K80*1.043</f>
        <v>2460.5282624999995</v>
      </c>
      <c r="M80" s="1049"/>
      <c r="N80" s="427"/>
      <c r="O80" s="1032"/>
      <c r="P80" s="499"/>
    </row>
    <row r="81" spans="1:16">
      <c r="A81" s="1031" t="s">
        <v>421</v>
      </c>
      <c r="B81" s="247" t="s">
        <v>422</v>
      </c>
      <c r="C81" s="1688" t="s">
        <v>280</v>
      </c>
      <c r="D81" s="1703">
        <v>9.078618748290572E-2</v>
      </c>
      <c r="E81" s="1704">
        <f>E82/E78</f>
        <v>9.7446361219316144E-2</v>
      </c>
      <c r="F81" s="1717">
        <f>F82/F78</f>
        <v>9.7582037996545773E-2</v>
      </c>
      <c r="G81" s="1704">
        <f>G82/G78</f>
        <v>9.7452848531985228E-2</v>
      </c>
      <c r="H81" s="2036">
        <v>0.08</v>
      </c>
      <c r="I81" s="2036">
        <v>0.08</v>
      </c>
      <c r="J81" s="1754">
        <f>J82/J78</f>
        <v>8.0569043570071316E-2</v>
      </c>
      <c r="K81" s="1754">
        <f t="shared" ref="K81:L81" si="24">K82/K78</f>
        <v>8.360878864475986E-2</v>
      </c>
      <c r="L81" s="1754">
        <f t="shared" si="24"/>
        <v>8.360878864475986E-2</v>
      </c>
      <c r="M81" s="1765"/>
      <c r="N81" s="465"/>
      <c r="O81" s="1739"/>
      <c r="P81" s="499"/>
    </row>
    <row r="82" spans="1:16">
      <c r="A82" s="1031" t="s">
        <v>423</v>
      </c>
      <c r="B82" s="247" t="s">
        <v>424</v>
      </c>
      <c r="C82" s="1688" t="s">
        <v>291</v>
      </c>
      <c r="D82" s="1716">
        <v>1528368</v>
      </c>
      <c r="E82" s="1702">
        <v>1702080</v>
      </c>
      <c r="F82" s="1716">
        <v>1690480</v>
      </c>
      <c r="G82" s="1702">
        <f>G80*12*G71</f>
        <v>1894536</v>
      </c>
      <c r="H82" s="1702">
        <f>H80*6*H71</f>
        <v>727200</v>
      </c>
      <c r="I82" s="2035">
        <v>1573800</v>
      </c>
      <c r="J82" s="1753">
        <f>I82*1.045</f>
        <v>1644621</v>
      </c>
      <c r="K82" s="1753">
        <f t="shared" ref="K82:L82" si="25">K80*K71*12</f>
        <v>1783470.15</v>
      </c>
      <c r="L82" s="1753">
        <f t="shared" si="25"/>
        <v>1860159.3664499996</v>
      </c>
      <c r="M82" s="1049"/>
      <c r="N82" s="427"/>
      <c r="O82" s="1032"/>
      <c r="P82" s="499"/>
    </row>
    <row r="83" spans="1:16" ht="30">
      <c r="A83" s="1097" t="s">
        <v>425</v>
      </c>
      <c r="B83" s="231" t="s">
        <v>426</v>
      </c>
      <c r="C83" s="1688"/>
      <c r="D83" s="1611"/>
      <c r="E83" s="1702"/>
      <c r="F83" s="1716"/>
      <c r="G83" s="1702"/>
      <c r="H83" s="2035"/>
      <c r="I83" s="2035"/>
      <c r="J83" s="1753"/>
      <c r="K83" s="1753"/>
      <c r="L83" s="1753"/>
      <c r="M83" s="1049"/>
      <c r="N83" s="427"/>
      <c r="O83" s="1032"/>
      <c r="P83" s="499"/>
    </row>
    <row r="84" spans="1:16">
      <c r="A84" s="1031" t="s">
        <v>427</v>
      </c>
      <c r="B84" s="247" t="s">
        <v>422</v>
      </c>
      <c r="C84" s="1688" t="s">
        <v>280</v>
      </c>
      <c r="D84" s="1717">
        <v>0.66126636296131003</v>
      </c>
      <c r="E84" s="1704">
        <f>E85/E78</f>
        <v>0.52112459952687495</v>
      </c>
      <c r="F84" s="1717">
        <f>F85/F78</f>
        <v>0.55728344093171889</v>
      </c>
      <c r="G84" s="1704">
        <f>G85/G78</f>
        <v>0.53000143000142996</v>
      </c>
      <c r="H84" s="2036">
        <v>0.47</v>
      </c>
      <c r="I84" s="2036">
        <v>0.5</v>
      </c>
      <c r="J84" s="1754">
        <f>J85/J78</f>
        <v>0.45616942739244898</v>
      </c>
      <c r="K84" s="1754">
        <f t="shared" ref="K84:L84" si="26">K85/K78</f>
        <v>0.45616942739244892</v>
      </c>
      <c r="L84" s="1754">
        <f t="shared" si="26"/>
        <v>0.45616942739244892</v>
      </c>
      <c r="M84" s="1765"/>
      <c r="N84" s="465"/>
      <c r="O84" s="1739"/>
      <c r="P84" s="499"/>
    </row>
    <row r="85" spans="1:16">
      <c r="A85" s="1031" t="s">
        <v>428</v>
      </c>
      <c r="B85" s="247" t="s">
        <v>424</v>
      </c>
      <c r="C85" s="1688" t="s">
        <v>291</v>
      </c>
      <c r="D85" s="1611">
        <v>11132292</v>
      </c>
      <c r="E85" s="1702">
        <v>9102400</v>
      </c>
      <c r="F85" s="1716">
        <v>9654200</v>
      </c>
      <c r="G85" s="1702">
        <v>10303514</v>
      </c>
      <c r="H85" s="2035">
        <v>4104077</v>
      </c>
      <c r="I85" s="2035">
        <v>8868180</v>
      </c>
      <c r="J85" s="1753">
        <f>J86</f>
        <v>9311589</v>
      </c>
      <c r="K85" s="1753">
        <f>J85*K74</f>
        <v>9730610.504999999</v>
      </c>
      <c r="L85" s="1753">
        <f>K85*1.043</f>
        <v>10149026.756714998</v>
      </c>
      <c r="M85" s="1049"/>
      <c r="N85" s="427"/>
      <c r="O85" s="1032"/>
      <c r="P85" s="499"/>
    </row>
    <row r="86" spans="1:16" ht="60">
      <c r="A86" s="1097" t="s">
        <v>429</v>
      </c>
      <c r="B86" s="231" t="s">
        <v>430</v>
      </c>
      <c r="C86" s="1688"/>
      <c r="D86" s="1611">
        <v>4099032.3899999997</v>
      </c>
      <c r="E86" s="1702">
        <v>8620456</v>
      </c>
      <c r="F86" s="1716">
        <v>8125886</v>
      </c>
      <c r="G86" s="1702">
        <v>9331485</v>
      </c>
      <c r="H86" s="2035">
        <v>4243729</v>
      </c>
      <c r="I86" s="2035">
        <v>8868180</v>
      </c>
      <c r="J86" s="1753">
        <f>I86*1.05</f>
        <v>9311589</v>
      </c>
      <c r="K86" s="1753">
        <f>J86*1.045</f>
        <v>9730610.504999999</v>
      </c>
      <c r="L86" s="1753">
        <f>K86*1.043</f>
        <v>10149026.756714998</v>
      </c>
      <c r="M86" s="1049"/>
      <c r="N86" s="427"/>
      <c r="O86" s="1032"/>
      <c r="P86" s="499"/>
    </row>
    <row r="87" spans="1:16">
      <c r="A87" s="1031" t="s">
        <v>431</v>
      </c>
      <c r="B87" s="247" t="s">
        <v>422</v>
      </c>
      <c r="C87" s="1688" t="s">
        <v>280</v>
      </c>
      <c r="D87" s="1717">
        <v>0.24348554998340916</v>
      </c>
      <c r="E87" s="1704">
        <f>E86/E78</f>
        <v>0.49353265959956122</v>
      </c>
      <c r="F87" s="1717">
        <f>F86/F78</f>
        <v>0.46906234703019217</v>
      </c>
      <c r="G87" s="1704">
        <f>G86/G78</f>
        <v>0.48000132712362931</v>
      </c>
      <c r="H87" s="2036">
        <v>0.45</v>
      </c>
      <c r="I87" s="2036">
        <v>0.43</v>
      </c>
      <c r="J87" s="1754">
        <f>J86/J78</f>
        <v>0.45616942739244898</v>
      </c>
      <c r="K87" s="1754">
        <f t="shared" ref="K87:L87" si="27">K86/K78</f>
        <v>0.45616942739244892</v>
      </c>
      <c r="L87" s="1754">
        <f t="shared" si="27"/>
        <v>0.45616942739244892</v>
      </c>
      <c r="M87" s="1765"/>
      <c r="N87" s="465"/>
      <c r="O87" s="1739"/>
      <c r="P87" s="499"/>
    </row>
    <row r="88" spans="1:16">
      <c r="A88" s="1031" t="s">
        <v>432</v>
      </c>
      <c r="B88" s="247" t="s">
        <v>424</v>
      </c>
      <c r="C88" s="1688" t="s">
        <v>291</v>
      </c>
      <c r="D88" s="1611">
        <v>245941.94339999996</v>
      </c>
      <c r="E88" s="1702">
        <v>789582</v>
      </c>
      <c r="F88" s="1716">
        <v>545766</v>
      </c>
      <c r="G88" s="1702">
        <v>836956.92</v>
      </c>
      <c r="H88" s="2035">
        <v>290600</v>
      </c>
      <c r="I88" s="2035">
        <v>547766</v>
      </c>
      <c r="J88" s="1753">
        <f>I88*1.05</f>
        <v>575154.30000000005</v>
      </c>
      <c r="K88" s="1753">
        <f>K86*0.06</f>
        <v>583836.63029999996</v>
      </c>
      <c r="L88" s="1753">
        <f>L86*0.06</f>
        <v>608941.60540289979</v>
      </c>
      <c r="M88" s="1049"/>
      <c r="N88" s="427"/>
      <c r="O88" s="1032"/>
      <c r="P88" s="499"/>
    </row>
    <row r="89" spans="1:16">
      <c r="A89" s="1031" t="s">
        <v>433</v>
      </c>
      <c r="B89" s="247" t="s">
        <v>259</v>
      </c>
      <c r="C89" s="1688" t="s">
        <v>291</v>
      </c>
      <c r="D89" s="1611">
        <v>3853090.4465999994</v>
      </c>
      <c r="E89" s="1702">
        <v>8051200</v>
      </c>
      <c r="F89" s="1716">
        <v>7580120</v>
      </c>
      <c r="G89" s="1702">
        <v>8494527.6799999997</v>
      </c>
      <c r="H89" s="2035">
        <v>3953129.43</v>
      </c>
      <c r="I89" s="2035">
        <v>7560129.6399999997</v>
      </c>
      <c r="J89" s="1753">
        <f>J86-J88</f>
        <v>8736434.6999999993</v>
      </c>
      <c r="K89" s="1753">
        <f>K86*0.94</f>
        <v>9146773.8746999986</v>
      </c>
      <c r="L89" s="1753">
        <f>L86*0.94</f>
        <v>9540085.1513120979</v>
      </c>
      <c r="M89" s="1049"/>
      <c r="N89" s="427"/>
      <c r="O89" s="1032"/>
      <c r="P89" s="499"/>
    </row>
    <row r="90" spans="1:16">
      <c r="A90" s="1031" t="s">
        <v>434</v>
      </c>
      <c r="B90" s="247" t="s">
        <v>435</v>
      </c>
      <c r="C90" s="1688" t="s">
        <v>291</v>
      </c>
      <c r="D90" s="1611"/>
      <c r="E90" s="1702"/>
      <c r="F90" s="1716"/>
      <c r="G90" s="1702"/>
      <c r="H90" s="2035"/>
      <c r="I90" s="2035"/>
      <c r="J90" s="1753"/>
      <c r="K90" s="1753"/>
      <c r="L90" s="1753"/>
      <c r="M90" s="1049"/>
      <c r="N90" s="427"/>
      <c r="O90" s="1032"/>
      <c r="P90" s="499"/>
    </row>
    <row r="91" spans="1:16" ht="60">
      <c r="A91" s="1097" t="s">
        <v>436</v>
      </c>
      <c r="B91" s="231" t="s">
        <v>437</v>
      </c>
      <c r="C91" s="1688" t="s">
        <v>291</v>
      </c>
      <c r="D91" s="1716">
        <v>41169.730393235302</v>
      </c>
      <c r="E91" s="1702">
        <f>E92/E71/12</f>
        <v>51238.577777777777</v>
      </c>
      <c r="F91" s="1716">
        <f>F92/F71/12</f>
        <v>45090.987745098042</v>
      </c>
      <c r="G91" s="1702">
        <f>G92/12/G71</f>
        <v>54193.2208994709</v>
      </c>
      <c r="H91" s="1702">
        <f>H92/6/H71</f>
        <v>49438.35</v>
      </c>
      <c r="I91" s="1702">
        <f t="shared" ref="I91:L91" si="28">I92/12/I71</f>
        <v>50610</v>
      </c>
      <c r="J91" s="1702">
        <f>J92/12/J71</f>
        <v>53809.915343915338</v>
      </c>
      <c r="K91" s="1702">
        <f t="shared" si="28"/>
        <v>56317.227083333331</v>
      </c>
      <c r="L91" s="1702">
        <f t="shared" si="28"/>
        <v>58738.867847916663</v>
      </c>
      <c r="M91" s="1049">
        <v>0</v>
      </c>
      <c r="N91" s="427">
        <v>0</v>
      </c>
      <c r="O91" s="1032">
        <v>0</v>
      </c>
      <c r="P91" s="499"/>
    </row>
    <row r="92" spans="1:16">
      <c r="A92" s="1097" t="s">
        <v>438</v>
      </c>
      <c r="B92" s="231" t="s">
        <v>439</v>
      </c>
      <c r="C92" s="1689" t="s">
        <v>291</v>
      </c>
      <c r="D92" s="1718">
        <v>33594500.000880003</v>
      </c>
      <c r="E92" s="1719">
        <f t="shared" ref="E92:L92" si="29">E78+E82+E85+E86</f>
        <v>36891776</v>
      </c>
      <c r="F92" s="1718">
        <f t="shared" si="29"/>
        <v>36794246</v>
      </c>
      <c r="G92" s="1719">
        <f t="shared" si="29"/>
        <v>40970075</v>
      </c>
      <c r="H92" s="1719">
        <f>H78+H82+H85+H86</f>
        <v>17797806</v>
      </c>
      <c r="I92" s="1719">
        <f t="shared" si="29"/>
        <v>37046520</v>
      </c>
      <c r="J92" s="1761">
        <f>J78+J82+J85+J86-70</f>
        <v>40680296</v>
      </c>
      <c r="K92" s="1761">
        <f t="shared" si="29"/>
        <v>42575823.674999997</v>
      </c>
      <c r="L92" s="1761">
        <f t="shared" si="29"/>
        <v>44406584.093024999</v>
      </c>
      <c r="M92" s="1726">
        <v>0</v>
      </c>
      <c r="N92" s="1685">
        <v>0</v>
      </c>
      <c r="O92" s="1748">
        <v>0</v>
      </c>
      <c r="P92" s="499"/>
    </row>
    <row r="93" spans="1:16" ht="30">
      <c r="A93" s="1097" t="s">
        <v>161</v>
      </c>
      <c r="B93" s="233" t="s">
        <v>440</v>
      </c>
      <c r="C93" s="1689" t="s">
        <v>291</v>
      </c>
      <c r="D93" s="1611"/>
      <c r="E93" s="1702"/>
      <c r="F93" s="1716"/>
      <c r="G93" s="1702"/>
      <c r="H93" s="2035"/>
      <c r="I93" s="2035"/>
      <c r="J93" s="1753"/>
      <c r="K93" s="1753"/>
      <c r="L93" s="1753"/>
      <c r="M93" s="1049"/>
      <c r="N93" s="427"/>
      <c r="O93" s="1032"/>
      <c r="P93" s="499"/>
    </row>
    <row r="94" spans="1:16" ht="30">
      <c r="A94" s="1742" t="s">
        <v>441</v>
      </c>
      <c r="B94" s="463" t="s">
        <v>442</v>
      </c>
      <c r="C94" s="1689" t="s">
        <v>291</v>
      </c>
      <c r="D94" s="1709"/>
      <c r="E94" s="1710"/>
      <c r="F94" s="1733"/>
      <c r="G94" s="1710"/>
      <c r="H94" s="2039"/>
      <c r="I94" s="2039"/>
      <c r="J94" s="1757"/>
      <c r="K94" s="1757"/>
      <c r="L94" s="1757"/>
      <c r="M94" s="1072"/>
      <c r="N94" s="418"/>
      <c r="O94" s="1079"/>
      <c r="P94" s="499"/>
    </row>
    <row r="95" spans="1:16" ht="45">
      <c r="A95" s="1743" t="s">
        <v>443</v>
      </c>
      <c r="B95" s="234" t="s">
        <v>444</v>
      </c>
      <c r="C95" s="1689" t="s">
        <v>291</v>
      </c>
      <c r="D95" s="1711"/>
      <c r="E95" s="1700"/>
      <c r="F95" s="1720"/>
      <c r="G95" s="1700"/>
      <c r="H95" s="2033"/>
      <c r="I95" s="2033"/>
      <c r="J95" s="1758"/>
      <c r="K95" s="1758"/>
      <c r="L95" s="1758"/>
      <c r="M95" s="1723"/>
      <c r="N95" s="461"/>
      <c r="O95" s="1744"/>
      <c r="P95" s="499"/>
    </row>
    <row r="96" spans="1:16" ht="30">
      <c r="A96" s="1277" t="s">
        <v>445</v>
      </c>
      <c r="B96" s="236" t="s">
        <v>446</v>
      </c>
      <c r="C96" s="1689" t="s">
        <v>291</v>
      </c>
      <c r="D96" s="1711">
        <v>700097.32799999998</v>
      </c>
      <c r="E96" s="1700">
        <v>682372.12</v>
      </c>
      <c r="F96" s="1720"/>
      <c r="G96" s="1700">
        <v>723314.45</v>
      </c>
      <c r="H96" s="2033">
        <v>271843</v>
      </c>
      <c r="I96" s="2033">
        <v>723314.45</v>
      </c>
      <c r="J96" s="1758">
        <f>G96*1.045</f>
        <v>755863.6002499999</v>
      </c>
      <c r="K96" s="1758">
        <f>J96*1.043</f>
        <v>788365.73506074981</v>
      </c>
      <c r="L96" s="1758">
        <f>K96*1.043</f>
        <v>822265.46166836203</v>
      </c>
      <c r="M96" s="1723"/>
      <c r="N96" s="461"/>
      <c r="O96" s="1744"/>
      <c r="P96" s="499"/>
    </row>
    <row r="97" spans="1:16" ht="30.75" thickBot="1">
      <c r="A97" s="2262" t="s">
        <v>447</v>
      </c>
      <c r="B97" s="233" t="s">
        <v>448</v>
      </c>
      <c r="C97" s="1689" t="s">
        <v>291</v>
      </c>
      <c r="D97" s="1716">
        <v>34294597.328880005</v>
      </c>
      <c r="E97" s="1702">
        <f t="shared" ref="E97:J97" si="30">E92+E96</f>
        <v>37574148.119999997</v>
      </c>
      <c r="F97" s="1716">
        <f t="shared" si="30"/>
        <v>36794246</v>
      </c>
      <c r="G97" s="1702">
        <f t="shared" si="30"/>
        <v>41693389.450000003</v>
      </c>
      <c r="H97" s="1702">
        <f t="shared" si="30"/>
        <v>18069649</v>
      </c>
      <c r="I97" s="1702">
        <f t="shared" si="30"/>
        <v>37769834.450000003</v>
      </c>
      <c r="J97" s="2263">
        <f t="shared" si="30"/>
        <v>41436159.600249998</v>
      </c>
      <c r="K97" s="2263">
        <f t="shared" ref="K97:L97" si="31">K92+K96</f>
        <v>43364189.410060748</v>
      </c>
      <c r="L97" s="2263">
        <f t="shared" si="31"/>
        <v>45228849.554693364</v>
      </c>
      <c r="M97" s="2264">
        <v>0</v>
      </c>
      <c r="N97" s="1567">
        <v>0</v>
      </c>
      <c r="O97" s="2265">
        <v>0</v>
      </c>
      <c r="P97" s="499"/>
    </row>
    <row r="98" spans="1:16" ht="15.75" thickBot="1">
      <c r="A98" s="183" t="s">
        <v>449</v>
      </c>
      <c r="B98" s="2266" t="s">
        <v>376</v>
      </c>
      <c r="C98" s="2267" t="s">
        <v>291</v>
      </c>
      <c r="D98" s="2268">
        <v>10356968.393321762</v>
      </c>
      <c r="E98" s="2269">
        <f>E97*0.302</f>
        <v>11347392.732239999</v>
      </c>
      <c r="F98" s="2268">
        <f>F97*0.302</f>
        <v>11111862.291999999</v>
      </c>
      <c r="G98" s="2269">
        <f>G97*0.302</f>
        <v>12591403.6139</v>
      </c>
      <c r="H98" s="2269">
        <f>H97*0.302</f>
        <v>5457033.9979999997</v>
      </c>
      <c r="I98" s="2269">
        <f>I97*0.302</f>
        <v>11406490.003900001</v>
      </c>
      <c r="J98" s="1953">
        <f t="shared" ref="J98:L98" si="32">J97*0.302</f>
        <v>12513720.199275499</v>
      </c>
      <c r="K98" s="1953">
        <f t="shared" si="32"/>
        <v>13095985.201838346</v>
      </c>
      <c r="L98" s="1953">
        <f t="shared" si="32"/>
        <v>13659112.565517396</v>
      </c>
      <c r="M98" s="2270"/>
      <c r="N98" s="1951"/>
      <c r="O98" s="1959"/>
      <c r="P98" s="499"/>
    </row>
    <row r="99" spans="1:16">
      <c r="E99"/>
      <c r="F99"/>
      <c r="G99"/>
      <c r="H99"/>
      <c r="I99"/>
    </row>
    <row r="100" spans="1:16">
      <c r="E100"/>
      <c r="F100" t="s">
        <v>471</v>
      </c>
      <c r="G100"/>
      <c r="H100"/>
      <c r="I100"/>
    </row>
    <row r="101" spans="1:16">
      <c r="E101"/>
      <c r="F101" t="s">
        <v>169</v>
      </c>
      <c r="G101"/>
      <c r="H101"/>
      <c r="I101"/>
    </row>
    <row r="102" spans="1:16">
      <c r="E102"/>
      <c r="F102" t="s">
        <v>403</v>
      </c>
      <c r="G102"/>
      <c r="H102"/>
      <c r="I102"/>
    </row>
    <row r="103" spans="1:16">
      <c r="E103"/>
      <c r="F103" t="s">
        <v>170</v>
      </c>
      <c r="G103"/>
      <c r="H103"/>
      <c r="I103"/>
    </row>
    <row r="104" spans="1:16">
      <c r="E104"/>
      <c r="F104"/>
      <c r="G104"/>
      <c r="H104"/>
      <c r="I104"/>
    </row>
    <row r="105" spans="1:16" ht="15.75" thickBot="1">
      <c r="A105" s="57" t="s">
        <v>452</v>
      </c>
      <c r="E105"/>
      <c r="F105"/>
      <c r="G105"/>
      <c r="H105"/>
      <c r="I105"/>
      <c r="J105">
        <v>1.0449999999999999</v>
      </c>
      <c r="K105">
        <v>1.0429999999999999</v>
      </c>
      <c r="L105">
        <v>1.0429999999999999</v>
      </c>
    </row>
    <row r="106" spans="1:16" ht="15.75" thickBot="1">
      <c r="A106" s="3389" t="s">
        <v>0</v>
      </c>
      <c r="B106" s="3389" t="s">
        <v>1</v>
      </c>
      <c r="C106" s="3389" t="s">
        <v>2</v>
      </c>
      <c r="D106" s="3432" t="s">
        <v>165</v>
      </c>
      <c r="E106" s="3433"/>
      <c r="F106" s="3433"/>
      <c r="G106" s="3433"/>
      <c r="H106" s="3433"/>
      <c r="I106" s="3433"/>
      <c r="J106" s="3433"/>
      <c r="K106" s="3433"/>
      <c r="L106" s="3433"/>
      <c r="M106" s="3432" t="s">
        <v>166</v>
      </c>
      <c r="N106" s="3433"/>
      <c r="O106" s="3434"/>
    </row>
    <row r="107" spans="1:16" ht="28.5" customHeight="1" thickBot="1">
      <c r="A107" s="3401"/>
      <c r="B107" s="3401"/>
      <c r="C107" s="3401"/>
      <c r="D107" s="3458" t="s">
        <v>453</v>
      </c>
      <c r="E107" s="3458"/>
      <c r="F107" s="3416" t="s">
        <v>1217</v>
      </c>
      <c r="G107" s="3417"/>
      <c r="H107" s="2028" t="s">
        <v>1363</v>
      </c>
      <c r="I107" s="2028" t="s">
        <v>1671</v>
      </c>
      <c r="J107" s="3389" t="s">
        <v>394</v>
      </c>
      <c r="K107" s="3389" t="s">
        <v>395</v>
      </c>
      <c r="L107" s="3387" t="s">
        <v>1155</v>
      </c>
      <c r="M107" s="3389" t="s">
        <v>394</v>
      </c>
      <c r="N107" s="3389" t="s">
        <v>395</v>
      </c>
      <c r="O107" s="3389" t="s">
        <v>1155</v>
      </c>
    </row>
    <row r="108" spans="1:16" ht="15.75" thickBot="1">
      <c r="A108" s="3390"/>
      <c r="B108" s="3390"/>
      <c r="C108" s="3390"/>
      <c r="D108" s="48" t="s">
        <v>5</v>
      </c>
      <c r="E108" s="476" t="s">
        <v>6</v>
      </c>
      <c r="F108" s="476" t="s">
        <v>7</v>
      </c>
      <c r="G108" s="476" t="s">
        <v>8</v>
      </c>
      <c r="H108" s="2029"/>
      <c r="I108" s="2029"/>
      <c r="J108" s="3390"/>
      <c r="K108" s="3390"/>
      <c r="L108" s="3388"/>
      <c r="M108" s="3390"/>
      <c r="N108" s="3390"/>
      <c r="O108" s="3390"/>
    </row>
    <row r="109" spans="1:16">
      <c r="A109" s="32">
        <v>1</v>
      </c>
      <c r="B109" s="33">
        <v>2</v>
      </c>
      <c r="C109" s="33">
        <v>3</v>
      </c>
      <c r="D109" s="33">
        <v>4</v>
      </c>
      <c r="E109" s="477">
        <v>5</v>
      </c>
      <c r="F109" s="477">
        <v>6</v>
      </c>
      <c r="G109" s="477">
        <v>7</v>
      </c>
      <c r="H109" s="2042"/>
      <c r="I109" s="2042"/>
      <c r="J109" s="51">
        <v>8</v>
      </c>
      <c r="K109" s="51">
        <v>9</v>
      </c>
      <c r="L109" s="51">
        <v>10</v>
      </c>
      <c r="M109" s="1600">
        <v>11</v>
      </c>
      <c r="N109" s="51">
        <v>12</v>
      </c>
      <c r="O109" s="1146">
        <v>13</v>
      </c>
    </row>
    <row r="110" spans="1:16" ht="15.75" thickBot="1">
      <c r="A110" s="238" t="s">
        <v>147</v>
      </c>
      <c r="B110" s="238" t="s">
        <v>405</v>
      </c>
      <c r="C110" s="239"/>
      <c r="D110" s="238"/>
      <c r="E110" s="238"/>
      <c r="F110" s="240"/>
      <c r="G110" s="240"/>
      <c r="H110" s="241"/>
      <c r="I110" s="241"/>
      <c r="J110" s="241"/>
      <c r="K110" s="241"/>
      <c r="L110" s="241"/>
      <c r="M110" s="1601"/>
      <c r="N110" s="241"/>
      <c r="O110" s="1602"/>
    </row>
    <row r="111" spans="1:16" hidden="1">
      <c r="A111" s="242" t="s">
        <v>454</v>
      </c>
      <c r="B111" s="243" t="s">
        <v>455</v>
      </c>
      <c r="C111" s="90"/>
      <c r="D111" s="40"/>
      <c r="E111" s="40"/>
      <c r="F111" s="40"/>
      <c r="G111" s="40"/>
      <c r="H111" s="52"/>
      <c r="I111" s="52"/>
      <c r="J111" s="52"/>
      <c r="K111" s="52"/>
      <c r="L111" s="52"/>
      <c r="M111" s="1603"/>
      <c r="N111" s="52"/>
      <c r="O111" s="997"/>
    </row>
    <row r="112" spans="1:16" hidden="1">
      <c r="A112" s="1629" t="s">
        <v>456</v>
      </c>
      <c r="B112" s="1630" t="s">
        <v>1218</v>
      </c>
      <c r="C112" s="1631" t="s">
        <v>32</v>
      </c>
      <c r="D112" s="1632">
        <v>99078.643656000015</v>
      </c>
      <c r="E112" s="1632">
        <f>E113*12*E114/1000</f>
        <v>161397.15701400003</v>
      </c>
      <c r="F112" s="1632">
        <v>166992.19523449324</v>
      </c>
      <c r="G112" s="1632">
        <f>G113*12*G114/1000</f>
        <v>178698.94954560001</v>
      </c>
      <c r="H112" s="1632">
        <f>H113*6*H114/1000</f>
        <v>82328.2785</v>
      </c>
      <c r="I112" s="1632">
        <f>I113*12*I114/1000</f>
        <v>172323.99966600002</v>
      </c>
      <c r="J112" s="1632">
        <f>J113*J114*12/1000</f>
        <v>164992.3734288</v>
      </c>
      <c r="K112" s="1632">
        <f t="shared" ref="K112:L112" si="33">K113*K114*12/1000</f>
        <v>169181.66385183836</v>
      </c>
      <c r="L112" s="1633">
        <f t="shared" si="33"/>
        <v>176456.47539746738</v>
      </c>
      <c r="M112" s="1634">
        <f t="shared" ref="M112:O112" si="34">(M113*M114*12)/1000</f>
        <v>164992.3734288</v>
      </c>
      <c r="N112" s="1632">
        <f t="shared" si="34"/>
        <v>0</v>
      </c>
      <c r="O112" s="1635">
        <f t="shared" si="34"/>
        <v>0</v>
      </c>
    </row>
    <row r="113" spans="1:15" ht="45" hidden="1">
      <c r="A113" s="244"/>
      <c r="B113" s="34" t="s">
        <v>625</v>
      </c>
      <c r="C113" s="92" t="s">
        <v>407</v>
      </c>
      <c r="D113" s="479">
        <v>465.70000000000005</v>
      </c>
      <c r="E113" s="479">
        <v>579.40650000000005</v>
      </c>
      <c r="F113" s="479">
        <v>650</v>
      </c>
      <c r="G113" s="479">
        <v>603.87</v>
      </c>
      <c r="H113" s="1667">
        <v>585</v>
      </c>
      <c r="I113" s="1667">
        <v>585</v>
      </c>
      <c r="J113" s="415">
        <v>533.07399999999996</v>
      </c>
      <c r="K113" s="415">
        <f>J113-9</f>
        <v>524.07399999999996</v>
      </c>
      <c r="L113" s="415">
        <f>K113</f>
        <v>524.07399999999996</v>
      </c>
      <c r="M113" s="1605">
        <f>J113</f>
        <v>533.07399999999996</v>
      </c>
      <c r="N113" s="415"/>
      <c r="O113" s="1030"/>
    </row>
    <row r="114" spans="1:15" ht="30" hidden="1">
      <c r="A114" s="244"/>
      <c r="B114" s="34" t="s">
        <v>290</v>
      </c>
      <c r="C114" s="92" t="s">
        <v>291</v>
      </c>
      <c r="D114" s="479">
        <v>17729.34</v>
      </c>
      <c r="E114" s="479">
        <v>23213</v>
      </c>
      <c r="F114" s="479">
        <v>21409.255799294002</v>
      </c>
      <c r="G114" s="479">
        <v>24660.240000000002</v>
      </c>
      <c r="H114" s="1667">
        <v>23455.35</v>
      </c>
      <c r="I114" s="1667">
        <v>24547.578300000001</v>
      </c>
      <c r="J114" s="415">
        <v>25792.6</v>
      </c>
      <c r="K114" s="415">
        <f>J114*1.043</f>
        <v>26901.681799999995</v>
      </c>
      <c r="L114" s="415">
        <f>K114*1.043</f>
        <v>28058.454117399993</v>
      </c>
      <c r="M114" s="1605">
        <f>J114</f>
        <v>25792.6</v>
      </c>
      <c r="N114" s="415"/>
      <c r="O114" s="1030"/>
    </row>
    <row r="115" spans="1:15" hidden="1">
      <c r="A115" s="244"/>
      <c r="B115" s="229" t="s">
        <v>1219</v>
      </c>
      <c r="C115" s="92"/>
      <c r="D115" s="479"/>
      <c r="E115" s="479"/>
      <c r="F115" s="479"/>
      <c r="G115" s="479"/>
      <c r="H115" s="1667"/>
      <c r="I115" s="1667"/>
      <c r="J115" s="415"/>
      <c r="K115" s="415"/>
      <c r="L115" s="415"/>
      <c r="M115" s="1605">
        <f t="shared" ref="M115:M152" si="35">J115</f>
        <v>0</v>
      </c>
      <c r="N115" s="415"/>
      <c r="O115" s="1030"/>
    </row>
    <row r="116" spans="1:15" hidden="1">
      <c r="A116" s="244" t="s">
        <v>150</v>
      </c>
      <c r="B116" s="1625" t="s">
        <v>1246</v>
      </c>
      <c r="C116" s="92" t="s">
        <v>32</v>
      </c>
      <c r="D116" s="416">
        <f>(D117*D118*12)/1000</f>
        <v>0</v>
      </c>
      <c r="E116" s="479">
        <f t="shared" ref="E116:L116" si="36">(E117*E118*12)/1000</f>
        <v>33821.755640399999</v>
      </c>
      <c r="F116" s="479">
        <f t="shared" si="36"/>
        <v>0</v>
      </c>
      <c r="G116" s="479">
        <f t="shared" si="36"/>
        <v>35955.331439999994</v>
      </c>
      <c r="H116" s="479">
        <f>(H117*H118*6)/1000</f>
        <v>17925.599999999999</v>
      </c>
      <c r="I116" s="479">
        <f>(I117*I118*12)/1000</f>
        <v>35874.480000000003</v>
      </c>
      <c r="J116" s="479">
        <f t="shared" si="36"/>
        <v>37573.321354799999</v>
      </c>
      <c r="K116" s="479">
        <f t="shared" si="36"/>
        <v>39188.974173056398</v>
      </c>
      <c r="L116" s="479">
        <f t="shared" si="36"/>
        <v>40874.100062497826</v>
      </c>
      <c r="M116" s="1605">
        <f t="shared" si="35"/>
        <v>37573.321354799999</v>
      </c>
      <c r="N116" s="416">
        <f t="shared" ref="N116:O116" si="37">(N117*N118*12)/1000</f>
        <v>0</v>
      </c>
      <c r="O116" s="1030">
        <f t="shared" si="37"/>
        <v>0</v>
      </c>
    </row>
    <row r="117" spans="1:15" ht="15" hidden="1" customHeight="1">
      <c r="A117" s="244"/>
      <c r="B117" s="34" t="s">
        <v>457</v>
      </c>
      <c r="C117" s="92" t="s">
        <v>407</v>
      </c>
      <c r="D117" s="416"/>
      <c r="E117" s="478">
        <f>169*0.59*0.97</f>
        <v>96.718699999999998</v>
      </c>
      <c r="F117" s="478"/>
      <c r="G117" s="478">
        <v>97</v>
      </c>
      <c r="H117" s="2043">
        <v>97</v>
      </c>
      <c r="I117" s="2043">
        <v>97</v>
      </c>
      <c r="J117" s="468">
        <v>97</v>
      </c>
      <c r="K117" s="468">
        <v>97</v>
      </c>
      <c r="L117" s="468">
        <v>97</v>
      </c>
      <c r="M117" s="1605">
        <f t="shared" si="35"/>
        <v>97</v>
      </c>
      <c r="N117" s="468"/>
      <c r="O117" s="1030"/>
    </row>
    <row r="118" spans="1:15" ht="30" hidden="1">
      <c r="A118" s="244"/>
      <c r="B118" s="34" t="s">
        <v>290</v>
      </c>
      <c r="C118" s="92" t="s">
        <v>291</v>
      </c>
      <c r="D118" s="416"/>
      <c r="E118" s="479">
        <v>29141</v>
      </c>
      <c r="F118" s="479"/>
      <c r="G118" s="479">
        <f>E118*1.06</f>
        <v>30889.460000000003</v>
      </c>
      <c r="H118" s="479">
        <v>30800</v>
      </c>
      <c r="I118" s="472">
        <v>30820</v>
      </c>
      <c r="J118" s="416">
        <f>G118*1.045</f>
        <v>32279.485700000001</v>
      </c>
      <c r="K118" s="416">
        <f>J118*1.043</f>
        <v>33667.503585099999</v>
      </c>
      <c r="L118" s="415">
        <f>K118*1.043</f>
        <v>35115.2062392593</v>
      </c>
      <c r="M118" s="1605">
        <f t="shared" si="35"/>
        <v>32279.485700000001</v>
      </c>
      <c r="N118" s="416"/>
      <c r="O118" s="1030"/>
    </row>
    <row r="119" spans="1:15" hidden="1">
      <c r="A119" s="244" t="s">
        <v>154</v>
      </c>
      <c r="B119" s="1625" t="s">
        <v>1220</v>
      </c>
      <c r="C119" s="92" t="s">
        <v>32</v>
      </c>
      <c r="D119" s="416">
        <f t="shared" ref="D119:O119" si="38">(D120*D121*12)/1000</f>
        <v>0</v>
      </c>
      <c r="E119" s="479">
        <f t="shared" si="38"/>
        <v>2465.3760000000002</v>
      </c>
      <c r="F119" s="479">
        <f t="shared" si="38"/>
        <v>0</v>
      </c>
      <c r="G119" s="479">
        <f t="shared" si="38"/>
        <v>2613.2985600000002</v>
      </c>
      <c r="H119" s="479">
        <f>(H120*H121*6)/1000</f>
        <v>1139.25</v>
      </c>
      <c r="I119" s="472">
        <f>(I120*I121*12)/1000</f>
        <v>1774.5</v>
      </c>
      <c r="J119" s="479">
        <f t="shared" si="38"/>
        <v>2730.8969951999998</v>
      </c>
      <c r="K119" s="479">
        <f t="shared" si="38"/>
        <v>2848.3255659935994</v>
      </c>
      <c r="L119" s="479">
        <f t="shared" si="38"/>
        <v>2970.8035653313241</v>
      </c>
      <c r="M119" s="1605">
        <f t="shared" si="35"/>
        <v>2730.8969951999998</v>
      </c>
      <c r="N119" s="416">
        <f t="shared" si="38"/>
        <v>0</v>
      </c>
      <c r="O119" s="1030">
        <f t="shared" si="38"/>
        <v>0</v>
      </c>
    </row>
    <row r="120" spans="1:15" ht="16.5" hidden="1" customHeight="1">
      <c r="A120" s="244"/>
      <c r="B120" s="34" t="s">
        <v>626</v>
      </c>
      <c r="C120" s="92" t="s">
        <v>407</v>
      </c>
      <c r="D120" s="416"/>
      <c r="E120" s="479">
        <v>8</v>
      </c>
      <c r="F120" s="479"/>
      <c r="G120" s="479">
        <v>8</v>
      </c>
      <c r="H120" s="479">
        <v>7</v>
      </c>
      <c r="I120" s="479">
        <v>7</v>
      </c>
      <c r="J120" s="416">
        <v>8</v>
      </c>
      <c r="K120" s="416">
        <v>8</v>
      </c>
      <c r="L120" s="415">
        <v>8</v>
      </c>
      <c r="M120" s="1605">
        <f t="shared" si="35"/>
        <v>8</v>
      </c>
      <c r="N120" s="416"/>
      <c r="O120" s="1030"/>
    </row>
    <row r="121" spans="1:15" ht="30" hidden="1">
      <c r="A121" s="244"/>
      <c r="B121" s="34" t="s">
        <v>290</v>
      </c>
      <c r="C121" s="92" t="s">
        <v>291</v>
      </c>
      <c r="D121" s="416"/>
      <c r="E121" s="479">
        <v>25681</v>
      </c>
      <c r="F121" s="479"/>
      <c r="G121" s="479">
        <f>E121*1.06</f>
        <v>27221.86</v>
      </c>
      <c r="H121" s="479">
        <v>27125</v>
      </c>
      <c r="I121" s="479">
        <v>21125</v>
      </c>
      <c r="J121" s="479">
        <f>G121*1.045</f>
        <v>28446.843699999998</v>
      </c>
      <c r="K121" s="479">
        <f>J121*1.043</f>
        <v>29670.057979099995</v>
      </c>
      <c r="L121" s="1667">
        <f>K121*1.043</f>
        <v>30945.870472201292</v>
      </c>
      <c r="M121" s="1605">
        <f t="shared" si="35"/>
        <v>28446.843699999998</v>
      </c>
      <c r="N121" s="416"/>
      <c r="O121" s="1030"/>
    </row>
    <row r="122" spans="1:15" ht="28.5" hidden="1" customHeight="1">
      <c r="A122" s="244" t="s">
        <v>1221</v>
      </c>
      <c r="B122" s="1628" t="s">
        <v>1222</v>
      </c>
      <c r="C122" s="92" t="s">
        <v>32</v>
      </c>
      <c r="D122" s="416">
        <f t="shared" ref="D122:O122" si="39">(D123*D124*12)/1000</f>
        <v>0</v>
      </c>
      <c r="E122" s="479">
        <f t="shared" si="39"/>
        <v>15660.828</v>
      </c>
      <c r="F122" s="479">
        <f t="shared" si="39"/>
        <v>0</v>
      </c>
      <c r="G122" s="479">
        <f t="shared" si="39"/>
        <v>1606.49784</v>
      </c>
      <c r="H122" s="479">
        <f>(H123*H124*6)/1000</f>
        <v>713.85599999999999</v>
      </c>
      <c r="I122" s="479">
        <f>(I123*I124*6)/1000</f>
        <v>713.76</v>
      </c>
      <c r="J122" s="479">
        <f t="shared" si="39"/>
        <v>1678.7902428000002</v>
      </c>
      <c r="K122" s="479">
        <f t="shared" si="39"/>
        <v>1750.9782232404</v>
      </c>
      <c r="L122" s="479">
        <f t="shared" si="39"/>
        <v>1826.2702868397371</v>
      </c>
      <c r="M122" s="1605">
        <f t="shared" si="35"/>
        <v>1678.7902428000002</v>
      </c>
      <c r="N122" s="416">
        <f t="shared" si="39"/>
        <v>0</v>
      </c>
      <c r="O122" s="1030">
        <f t="shared" si="39"/>
        <v>0</v>
      </c>
    </row>
    <row r="123" spans="1:15" ht="15" hidden="1" customHeight="1">
      <c r="A123" s="244"/>
      <c r="B123" s="34" t="s">
        <v>626</v>
      </c>
      <c r="C123" s="92" t="s">
        <v>407</v>
      </c>
      <c r="D123" s="416"/>
      <c r="E123" s="479">
        <v>93</v>
      </c>
      <c r="F123" s="479"/>
      <c r="G123" s="479">
        <v>9</v>
      </c>
      <c r="H123" s="479">
        <v>8</v>
      </c>
      <c r="I123" s="479">
        <v>8</v>
      </c>
      <c r="J123" s="479">
        <v>9</v>
      </c>
      <c r="K123" s="479">
        <v>9</v>
      </c>
      <c r="L123" s="1667">
        <v>9</v>
      </c>
      <c r="M123" s="1605">
        <f t="shared" si="35"/>
        <v>9</v>
      </c>
      <c r="N123" s="416"/>
      <c r="O123" s="1030"/>
    </row>
    <row r="124" spans="1:15" ht="30" hidden="1">
      <c r="A124" s="244"/>
      <c r="B124" s="34" t="s">
        <v>290</v>
      </c>
      <c r="C124" s="92" t="s">
        <v>291</v>
      </c>
      <c r="D124" s="416"/>
      <c r="E124" s="479">
        <v>14033</v>
      </c>
      <c r="F124" s="479"/>
      <c r="G124" s="479">
        <f>E124*1.06</f>
        <v>14874.980000000001</v>
      </c>
      <c r="H124" s="479">
        <v>14872</v>
      </c>
      <c r="I124" s="479">
        <v>14870</v>
      </c>
      <c r="J124" s="479">
        <f>G124*1.045</f>
        <v>15544.3541</v>
      </c>
      <c r="K124" s="479">
        <f>J124*1.043</f>
        <v>16212.761326299998</v>
      </c>
      <c r="L124" s="1667">
        <f>K124*1.043</f>
        <v>16909.910063330899</v>
      </c>
      <c r="M124" s="1605">
        <f t="shared" si="35"/>
        <v>15544.3541</v>
      </c>
      <c r="N124" s="416"/>
      <c r="O124" s="1030"/>
    </row>
    <row r="125" spans="1:15" ht="15.75" hidden="1" customHeight="1">
      <c r="A125" s="244" t="s">
        <v>1224</v>
      </c>
      <c r="B125" s="1628" t="s">
        <v>1223</v>
      </c>
      <c r="C125" s="92" t="s">
        <v>32</v>
      </c>
      <c r="D125" s="416">
        <f t="shared" ref="D125:O125" si="40">(D126*D127*12)/1000</f>
        <v>0</v>
      </c>
      <c r="E125" s="479">
        <f t="shared" si="40"/>
        <v>16524.563999999998</v>
      </c>
      <c r="F125" s="479">
        <f t="shared" si="40"/>
        <v>0</v>
      </c>
      <c r="G125" s="479">
        <f t="shared" si="40"/>
        <v>17516.037840000001</v>
      </c>
      <c r="H125" s="479">
        <f>(H126*H127*6)/1000</f>
        <v>8398.5239999999994</v>
      </c>
      <c r="I125" s="479">
        <f>(I126*I127*6)/1000</f>
        <v>8398.5239999999994</v>
      </c>
      <c r="J125" s="479">
        <f t="shared" si="40"/>
        <v>18304.259542799999</v>
      </c>
      <c r="K125" s="479">
        <f t="shared" si="40"/>
        <v>19091.342703140399</v>
      </c>
      <c r="L125" s="479">
        <f t="shared" si="40"/>
        <v>19912.270439375432</v>
      </c>
      <c r="M125" s="1605">
        <f t="shared" si="35"/>
        <v>18304.259542799999</v>
      </c>
      <c r="N125" s="416">
        <f t="shared" si="40"/>
        <v>0</v>
      </c>
      <c r="O125" s="1030">
        <f t="shared" si="40"/>
        <v>0</v>
      </c>
    </row>
    <row r="126" spans="1:15" ht="17.25" hidden="1" customHeight="1">
      <c r="A126" s="244"/>
      <c r="B126" s="34" t="s">
        <v>626</v>
      </c>
      <c r="C126" s="92" t="s">
        <v>407</v>
      </c>
      <c r="D126" s="416"/>
      <c r="E126" s="479">
        <v>49</v>
      </c>
      <c r="F126" s="479"/>
      <c r="G126" s="479">
        <v>49</v>
      </c>
      <c r="H126" s="479">
        <v>47</v>
      </c>
      <c r="I126" s="479">
        <v>47</v>
      </c>
      <c r="J126" s="479">
        <v>49</v>
      </c>
      <c r="K126" s="479">
        <v>49</v>
      </c>
      <c r="L126" s="1667">
        <v>49</v>
      </c>
      <c r="M126" s="1605">
        <f t="shared" si="35"/>
        <v>49</v>
      </c>
      <c r="N126" s="416"/>
      <c r="O126" s="1030"/>
    </row>
    <row r="127" spans="1:15" ht="30" hidden="1">
      <c r="A127" s="244"/>
      <c r="B127" s="34" t="s">
        <v>290</v>
      </c>
      <c r="C127" s="92" t="s">
        <v>291</v>
      </c>
      <c r="D127" s="416"/>
      <c r="E127" s="479">
        <v>28103</v>
      </c>
      <c r="F127" s="479"/>
      <c r="G127" s="479">
        <f>E127*1.06</f>
        <v>29789.18</v>
      </c>
      <c r="H127" s="479">
        <v>29782</v>
      </c>
      <c r="I127" s="479">
        <v>29782</v>
      </c>
      <c r="J127" s="479">
        <f>G127*1.045</f>
        <v>31129.693099999997</v>
      </c>
      <c r="K127" s="479">
        <f>J127*1.043</f>
        <v>32468.269903299995</v>
      </c>
      <c r="L127" s="1667">
        <f>K127*1.043</f>
        <v>33864.405509141892</v>
      </c>
      <c r="M127" s="1605">
        <f t="shared" si="35"/>
        <v>31129.693099999997</v>
      </c>
      <c r="N127" s="416"/>
      <c r="O127" s="1030"/>
    </row>
    <row r="128" spans="1:15" ht="60" hidden="1">
      <c r="A128" s="244" t="s">
        <v>1225</v>
      </c>
      <c r="B128" s="1628" t="s">
        <v>1226</v>
      </c>
      <c r="C128" s="92" t="s">
        <v>32</v>
      </c>
      <c r="D128" s="416">
        <f t="shared" ref="D128:O128" si="41">(D129*D130*12)/1000</f>
        <v>0</v>
      </c>
      <c r="E128" s="479">
        <f t="shared" si="41"/>
        <v>33049.127999999997</v>
      </c>
      <c r="F128" s="479">
        <f t="shared" si="41"/>
        <v>0</v>
      </c>
      <c r="G128" s="479">
        <f t="shared" si="41"/>
        <v>35032.075680000002</v>
      </c>
      <c r="H128" s="479">
        <f>(H129*H130*6)/1000</f>
        <v>17156.16</v>
      </c>
      <c r="I128" s="479">
        <f>(I129*I130*6)/1000</f>
        <v>17155.583999999999</v>
      </c>
      <c r="J128" s="479">
        <f t="shared" si="41"/>
        <v>36608.519085599997</v>
      </c>
      <c r="K128" s="479">
        <f t="shared" si="41"/>
        <v>38182.685406280798</v>
      </c>
      <c r="L128" s="479">
        <f t="shared" si="41"/>
        <v>39824.540878750864</v>
      </c>
      <c r="M128" s="1605">
        <f t="shared" si="35"/>
        <v>36608.519085599997</v>
      </c>
      <c r="N128" s="416">
        <f t="shared" si="41"/>
        <v>0</v>
      </c>
      <c r="O128" s="1030">
        <f t="shared" si="41"/>
        <v>0</v>
      </c>
    </row>
    <row r="129" spans="1:15" ht="18" hidden="1" customHeight="1">
      <c r="A129" s="244"/>
      <c r="B129" s="34" t="s">
        <v>626</v>
      </c>
      <c r="C129" s="92" t="s">
        <v>407</v>
      </c>
      <c r="D129" s="416"/>
      <c r="E129" s="479">
        <v>98</v>
      </c>
      <c r="F129" s="479"/>
      <c r="G129" s="479">
        <v>98</v>
      </c>
      <c r="H129" s="479">
        <v>96</v>
      </c>
      <c r="I129" s="479">
        <v>96</v>
      </c>
      <c r="J129" s="479">
        <v>98</v>
      </c>
      <c r="K129" s="479">
        <v>98</v>
      </c>
      <c r="L129" s="1667">
        <v>98</v>
      </c>
      <c r="M129" s="1605">
        <f t="shared" si="35"/>
        <v>98</v>
      </c>
      <c r="N129" s="416"/>
      <c r="O129" s="1030"/>
    </row>
    <row r="130" spans="1:15" ht="30" hidden="1">
      <c r="A130" s="244"/>
      <c r="B130" s="34" t="s">
        <v>290</v>
      </c>
      <c r="C130" s="92" t="s">
        <v>291</v>
      </c>
      <c r="D130" s="416"/>
      <c r="E130" s="479">
        <v>28103</v>
      </c>
      <c r="F130" s="479"/>
      <c r="G130" s="479">
        <f>E130*1.06</f>
        <v>29789.18</v>
      </c>
      <c r="H130" s="479">
        <v>29785</v>
      </c>
      <c r="I130" s="479">
        <v>29784</v>
      </c>
      <c r="J130" s="479">
        <f>G130*1.045</f>
        <v>31129.693099999997</v>
      </c>
      <c r="K130" s="479">
        <f>J130*1.043</f>
        <v>32468.269903299995</v>
      </c>
      <c r="L130" s="1667">
        <f>K130*1.043</f>
        <v>33864.405509141892</v>
      </c>
      <c r="M130" s="1605">
        <f t="shared" si="35"/>
        <v>31129.693099999997</v>
      </c>
      <c r="N130" s="416"/>
      <c r="O130" s="1030"/>
    </row>
    <row r="131" spans="1:15" ht="30" hidden="1">
      <c r="A131" s="244" t="s">
        <v>1227</v>
      </c>
      <c r="B131" s="1628" t="s">
        <v>1229</v>
      </c>
      <c r="C131" s="92" t="s">
        <v>32</v>
      </c>
      <c r="D131" s="416">
        <f t="shared" ref="D131:O131" si="42">(D132*D133*12)/1000</f>
        <v>0</v>
      </c>
      <c r="E131" s="479">
        <f t="shared" si="42"/>
        <v>1022.4</v>
      </c>
      <c r="F131" s="479">
        <f t="shared" si="42"/>
        <v>0</v>
      </c>
      <c r="G131" s="479">
        <f t="shared" si="42"/>
        <v>1083.7439999999999</v>
      </c>
      <c r="H131" s="479">
        <f>(H132*H133*6)/1000</f>
        <v>541.87199999999996</v>
      </c>
      <c r="I131" s="479">
        <f>(I132*I133*6)/1000</f>
        <v>541.87199999999996</v>
      </c>
      <c r="J131" s="479">
        <f t="shared" si="42"/>
        <v>1132.5124799999999</v>
      </c>
      <c r="K131" s="479">
        <f t="shared" si="42"/>
        <v>1181.2105166399999</v>
      </c>
      <c r="L131" s="479">
        <f t="shared" si="42"/>
        <v>1232.0025688555195</v>
      </c>
      <c r="M131" s="1605">
        <f t="shared" si="35"/>
        <v>1132.5124799999999</v>
      </c>
      <c r="N131" s="416">
        <f t="shared" si="42"/>
        <v>0</v>
      </c>
      <c r="O131" s="1030">
        <f t="shared" si="42"/>
        <v>0</v>
      </c>
    </row>
    <row r="132" spans="1:15" ht="18.75" hidden="1" customHeight="1">
      <c r="A132" s="244"/>
      <c r="B132" s="34" t="s">
        <v>626</v>
      </c>
      <c r="C132" s="92" t="s">
        <v>407</v>
      </c>
      <c r="D132" s="416"/>
      <c r="E132" s="479">
        <v>6</v>
      </c>
      <c r="F132" s="479"/>
      <c r="G132" s="479">
        <v>6</v>
      </c>
      <c r="H132" s="479">
        <v>6</v>
      </c>
      <c r="I132" s="479">
        <v>6</v>
      </c>
      <c r="J132" s="479">
        <v>6</v>
      </c>
      <c r="K132" s="479">
        <v>6</v>
      </c>
      <c r="L132" s="1667">
        <v>6</v>
      </c>
      <c r="M132" s="1605">
        <f t="shared" si="35"/>
        <v>6</v>
      </c>
      <c r="N132" s="416"/>
      <c r="O132" s="1030"/>
    </row>
    <row r="133" spans="1:15" ht="30" hidden="1">
      <c r="A133" s="244"/>
      <c r="B133" s="34" t="s">
        <v>290</v>
      </c>
      <c r="C133" s="92" t="s">
        <v>291</v>
      </c>
      <c r="D133" s="416"/>
      <c r="E133" s="479">
        <v>14200</v>
      </c>
      <c r="F133" s="479"/>
      <c r="G133" s="479">
        <f>E133*1.06</f>
        <v>15052</v>
      </c>
      <c r="H133" s="479">
        <v>15052</v>
      </c>
      <c r="I133" s="479">
        <v>15052</v>
      </c>
      <c r="J133" s="479">
        <f>G133*1.045</f>
        <v>15729.339999999998</v>
      </c>
      <c r="K133" s="479">
        <f>J133*1.043</f>
        <v>16405.701619999996</v>
      </c>
      <c r="L133" s="1667">
        <f>K133*1.043</f>
        <v>17111.146789659993</v>
      </c>
      <c r="M133" s="1605">
        <f t="shared" si="35"/>
        <v>15729.339999999998</v>
      </c>
      <c r="N133" s="416"/>
      <c r="O133" s="1030"/>
    </row>
    <row r="134" spans="1:15" ht="30" hidden="1">
      <c r="A134" s="244" t="s">
        <v>1228</v>
      </c>
      <c r="B134" s="1628" t="s">
        <v>1230</v>
      </c>
      <c r="C134" s="92" t="s">
        <v>32</v>
      </c>
      <c r="D134" s="416">
        <f t="shared" ref="D134:O134" si="43">(D135*D136*12)/1000</f>
        <v>0</v>
      </c>
      <c r="E134" s="479">
        <f t="shared" si="43"/>
        <v>8282.4</v>
      </c>
      <c r="F134" s="479">
        <f t="shared" si="43"/>
        <v>0</v>
      </c>
      <c r="G134" s="479">
        <f t="shared" si="43"/>
        <v>8779.3439999999991</v>
      </c>
      <c r="H134" s="479">
        <f>(H135*H136*6)/1000</f>
        <v>4086.9360000000001</v>
      </c>
      <c r="I134" s="479">
        <f>(I135*I136*6)/1000</f>
        <v>4086.9360000000001</v>
      </c>
      <c r="J134" s="479">
        <f t="shared" si="43"/>
        <v>9174.4144799999995</v>
      </c>
      <c r="K134" s="479">
        <f t="shared" si="43"/>
        <v>9568.9143026399979</v>
      </c>
      <c r="L134" s="479">
        <f t="shared" si="43"/>
        <v>9980.3776176535193</v>
      </c>
      <c r="M134" s="1605">
        <f t="shared" si="35"/>
        <v>9174.4144799999995</v>
      </c>
      <c r="N134" s="416">
        <f t="shared" si="43"/>
        <v>0</v>
      </c>
      <c r="O134" s="1030">
        <f t="shared" si="43"/>
        <v>0</v>
      </c>
    </row>
    <row r="135" spans="1:15" ht="17.25" hidden="1" customHeight="1">
      <c r="A135" s="244"/>
      <c r="B135" s="34" t="s">
        <v>626</v>
      </c>
      <c r="C135" s="92" t="s">
        <v>407</v>
      </c>
      <c r="D135" s="416"/>
      <c r="E135" s="479">
        <v>29</v>
      </c>
      <c r="F135" s="479"/>
      <c r="G135" s="479">
        <v>29</v>
      </c>
      <c r="H135" s="479">
        <v>27</v>
      </c>
      <c r="I135" s="479">
        <v>27</v>
      </c>
      <c r="J135" s="479">
        <v>29</v>
      </c>
      <c r="K135" s="479">
        <v>29</v>
      </c>
      <c r="L135" s="1667">
        <v>29</v>
      </c>
      <c r="M135" s="1605">
        <f t="shared" si="35"/>
        <v>29</v>
      </c>
      <c r="N135" s="416"/>
      <c r="O135" s="1030"/>
    </row>
    <row r="136" spans="1:15" ht="30" hidden="1">
      <c r="A136" s="244"/>
      <c r="B136" s="34" t="s">
        <v>290</v>
      </c>
      <c r="C136" s="92" t="s">
        <v>291</v>
      </c>
      <c r="D136" s="416"/>
      <c r="E136" s="479">
        <v>23800</v>
      </c>
      <c r="F136" s="479"/>
      <c r="G136" s="479">
        <f>E136*1.06</f>
        <v>25228</v>
      </c>
      <c r="H136" s="479">
        <v>25228</v>
      </c>
      <c r="I136" s="479">
        <v>25228</v>
      </c>
      <c r="J136" s="479">
        <f>G136*1.045</f>
        <v>26363.26</v>
      </c>
      <c r="K136" s="479">
        <f>J136*1.043</f>
        <v>27496.880179999996</v>
      </c>
      <c r="L136" s="1667">
        <f>K136*1.043</f>
        <v>28679.246027739995</v>
      </c>
      <c r="M136" s="1605">
        <f t="shared" si="35"/>
        <v>26363.26</v>
      </c>
      <c r="N136" s="416"/>
      <c r="O136" s="1030"/>
    </row>
    <row r="137" spans="1:15" hidden="1">
      <c r="A137" s="244" t="s">
        <v>1232</v>
      </c>
      <c r="B137" s="1628" t="s">
        <v>1231</v>
      </c>
      <c r="C137" s="92" t="s">
        <v>32</v>
      </c>
      <c r="D137" s="416">
        <f t="shared" ref="D137:O137" si="44">(D138*D139*12)/1000</f>
        <v>0</v>
      </c>
      <c r="E137" s="479">
        <f t="shared" si="44"/>
        <v>1457.3520000000001</v>
      </c>
      <c r="F137" s="479">
        <f t="shared" si="44"/>
        <v>0</v>
      </c>
      <c r="G137" s="479">
        <f t="shared" si="44"/>
        <v>1544.79312</v>
      </c>
      <c r="H137" s="479">
        <f>(H138*H139*6)/1000</f>
        <v>772.2</v>
      </c>
      <c r="I137" s="479">
        <f>(I138*I139*6)/1000</f>
        <v>772.2</v>
      </c>
      <c r="J137" s="479">
        <f t="shared" si="44"/>
        <v>1614.3088104000001</v>
      </c>
      <c r="K137" s="479">
        <f t="shared" si="44"/>
        <v>1683.7240892471998</v>
      </c>
      <c r="L137" s="479">
        <f t="shared" si="44"/>
        <v>1756.1242250848295</v>
      </c>
      <c r="M137" s="1605">
        <f t="shared" si="35"/>
        <v>1614.3088104000001</v>
      </c>
      <c r="N137" s="416">
        <f t="shared" si="44"/>
        <v>0</v>
      </c>
      <c r="O137" s="1030">
        <f t="shared" si="44"/>
        <v>0</v>
      </c>
    </row>
    <row r="138" spans="1:15" ht="18.75" hidden="1" customHeight="1">
      <c r="A138" s="244"/>
      <c r="B138" s="34" t="s">
        <v>626</v>
      </c>
      <c r="C138" s="92" t="s">
        <v>407</v>
      </c>
      <c r="D138" s="416"/>
      <c r="E138" s="479">
        <v>9</v>
      </c>
      <c r="F138" s="479"/>
      <c r="G138" s="479">
        <v>9</v>
      </c>
      <c r="H138" s="479">
        <v>9</v>
      </c>
      <c r="I138" s="479">
        <v>9</v>
      </c>
      <c r="J138" s="479">
        <v>9</v>
      </c>
      <c r="K138" s="479">
        <v>9</v>
      </c>
      <c r="L138" s="1667">
        <v>9</v>
      </c>
      <c r="M138" s="1605">
        <f t="shared" si="35"/>
        <v>9</v>
      </c>
      <c r="N138" s="416"/>
      <c r="O138" s="1030"/>
    </row>
    <row r="139" spans="1:15" ht="30" hidden="1">
      <c r="A139" s="244"/>
      <c r="B139" s="34" t="s">
        <v>290</v>
      </c>
      <c r="C139" s="92" t="s">
        <v>291</v>
      </c>
      <c r="D139" s="416"/>
      <c r="E139" s="479">
        <v>13494</v>
      </c>
      <c r="F139" s="479"/>
      <c r="G139" s="479">
        <f>E139*1.06</f>
        <v>14303.640000000001</v>
      </c>
      <c r="H139" s="479">
        <v>14300</v>
      </c>
      <c r="I139" s="479">
        <v>14300</v>
      </c>
      <c r="J139" s="479">
        <f>G139*1.045</f>
        <v>14947.3038</v>
      </c>
      <c r="K139" s="479">
        <f>J139*1.043</f>
        <v>15590.037863399999</v>
      </c>
      <c r="L139" s="1667">
        <f>K139*1.043</f>
        <v>16260.409491526198</v>
      </c>
      <c r="M139" s="1605">
        <f t="shared" si="35"/>
        <v>14947.3038</v>
      </c>
      <c r="N139" s="416"/>
      <c r="O139" s="1030"/>
    </row>
    <row r="140" spans="1:15" ht="30" hidden="1">
      <c r="A140" s="244" t="s">
        <v>1233</v>
      </c>
      <c r="B140" s="1628" t="s">
        <v>1234</v>
      </c>
      <c r="C140" s="92" t="s">
        <v>32</v>
      </c>
      <c r="D140" s="416">
        <f t="shared" ref="D140:O140" si="45">(D141*D142*12)/1000</f>
        <v>0</v>
      </c>
      <c r="E140" s="479">
        <f t="shared" si="45"/>
        <v>1619.28</v>
      </c>
      <c r="F140" s="479">
        <f t="shared" si="45"/>
        <v>0</v>
      </c>
      <c r="G140" s="479">
        <f t="shared" si="45"/>
        <v>1716.4368000000002</v>
      </c>
      <c r="H140" s="479">
        <f>(H141*H142*6)/1000</f>
        <v>858</v>
      </c>
      <c r="I140" s="479">
        <f>(I141*I142*6)/1000</f>
        <v>858</v>
      </c>
      <c r="J140" s="479">
        <f t="shared" si="45"/>
        <v>1793.6764559999999</v>
      </c>
      <c r="K140" s="479">
        <f t="shared" si="45"/>
        <v>1870.8045436080001</v>
      </c>
      <c r="L140" s="479">
        <f t="shared" si="45"/>
        <v>1951.2491389831439</v>
      </c>
      <c r="M140" s="1605">
        <f t="shared" si="35"/>
        <v>1793.6764559999999</v>
      </c>
      <c r="N140" s="416">
        <f t="shared" si="45"/>
        <v>0</v>
      </c>
      <c r="O140" s="1030">
        <f t="shared" si="45"/>
        <v>0</v>
      </c>
    </row>
    <row r="141" spans="1:15" ht="12.75" hidden="1" customHeight="1">
      <c r="A141" s="244"/>
      <c r="B141" s="34" t="s">
        <v>626</v>
      </c>
      <c r="C141" s="92" t="s">
        <v>407</v>
      </c>
      <c r="D141" s="416"/>
      <c r="E141" s="479">
        <v>10</v>
      </c>
      <c r="F141" s="479"/>
      <c r="G141" s="479">
        <v>10</v>
      </c>
      <c r="H141" s="479">
        <v>10</v>
      </c>
      <c r="I141" s="479">
        <v>10</v>
      </c>
      <c r="J141" s="479">
        <v>10</v>
      </c>
      <c r="K141" s="479">
        <v>10</v>
      </c>
      <c r="L141" s="1667">
        <v>10</v>
      </c>
      <c r="M141" s="1605">
        <f t="shared" si="35"/>
        <v>10</v>
      </c>
      <c r="N141" s="416"/>
      <c r="O141" s="1030"/>
    </row>
    <row r="142" spans="1:15" ht="32.25" hidden="1" customHeight="1">
      <c r="A142" s="244"/>
      <c r="B142" s="34" t="s">
        <v>290</v>
      </c>
      <c r="C142" s="92" t="s">
        <v>291</v>
      </c>
      <c r="D142" s="416"/>
      <c r="E142" s="479">
        <v>13494</v>
      </c>
      <c r="F142" s="479"/>
      <c r="G142" s="479">
        <f>E142*1.06</f>
        <v>14303.640000000001</v>
      </c>
      <c r="H142" s="479">
        <v>14300</v>
      </c>
      <c r="I142" s="479">
        <v>14300</v>
      </c>
      <c r="J142" s="479">
        <f>G142*1.045</f>
        <v>14947.3038</v>
      </c>
      <c r="K142" s="479">
        <f>J142*1.043</f>
        <v>15590.037863399999</v>
      </c>
      <c r="L142" s="1667">
        <f>K142*1.043</f>
        <v>16260.409491526198</v>
      </c>
      <c r="M142" s="1605">
        <f t="shared" si="35"/>
        <v>14947.3038</v>
      </c>
      <c r="N142" s="416"/>
      <c r="O142" s="1030"/>
    </row>
    <row r="143" spans="1:15" hidden="1">
      <c r="A143" s="244" t="s">
        <v>1237</v>
      </c>
      <c r="B143" s="1628" t="s">
        <v>1235</v>
      </c>
      <c r="C143" s="92" t="s">
        <v>32</v>
      </c>
      <c r="D143" s="416">
        <f t="shared" ref="D143:O143" si="46">(D144*D145*12)/1000</f>
        <v>0</v>
      </c>
      <c r="E143" s="479">
        <f t="shared" si="46"/>
        <v>2105.0639999999999</v>
      </c>
      <c r="F143" s="479">
        <f t="shared" si="46"/>
        <v>0</v>
      </c>
      <c r="G143" s="479">
        <f t="shared" si="46"/>
        <v>2231.3678399999999</v>
      </c>
      <c r="H143" s="479">
        <f>(H144*H145*6)/1000</f>
        <v>1029.5999999999999</v>
      </c>
      <c r="I143" s="479">
        <f t="shared" si="46"/>
        <v>2059.1999999999998</v>
      </c>
      <c r="J143" s="479">
        <f t="shared" si="46"/>
        <v>2331.7793927999996</v>
      </c>
      <c r="K143" s="479">
        <f t="shared" si="46"/>
        <v>2432.0459066904</v>
      </c>
      <c r="L143" s="479">
        <f t="shared" si="46"/>
        <v>2536.6238806780871</v>
      </c>
      <c r="M143" s="1605">
        <f t="shared" si="35"/>
        <v>2331.7793927999996</v>
      </c>
      <c r="N143" s="416">
        <f t="shared" si="46"/>
        <v>0</v>
      </c>
      <c r="O143" s="1030">
        <f t="shared" si="46"/>
        <v>0</v>
      </c>
    </row>
    <row r="144" spans="1:15" ht="18" hidden="1" customHeight="1">
      <c r="A144" s="244"/>
      <c r="B144" s="34" t="s">
        <v>626</v>
      </c>
      <c r="C144" s="92" t="s">
        <v>407</v>
      </c>
      <c r="D144" s="416"/>
      <c r="E144" s="479">
        <v>13</v>
      </c>
      <c r="F144" s="479"/>
      <c r="G144" s="479">
        <v>13</v>
      </c>
      <c r="H144" s="479">
        <v>12</v>
      </c>
      <c r="I144" s="479">
        <v>12</v>
      </c>
      <c r="J144" s="479">
        <v>13</v>
      </c>
      <c r="K144" s="479">
        <v>13</v>
      </c>
      <c r="L144" s="1667">
        <v>13</v>
      </c>
      <c r="M144" s="1605">
        <f t="shared" si="35"/>
        <v>13</v>
      </c>
      <c r="N144" s="416"/>
      <c r="O144" s="1030"/>
    </row>
    <row r="145" spans="1:17" ht="30" hidden="1">
      <c r="A145" s="244"/>
      <c r="B145" s="34" t="s">
        <v>290</v>
      </c>
      <c r="C145" s="92" t="s">
        <v>291</v>
      </c>
      <c r="D145" s="416"/>
      <c r="E145" s="479">
        <v>13494</v>
      </c>
      <c r="F145" s="479"/>
      <c r="G145" s="479">
        <f>E145*1.06</f>
        <v>14303.640000000001</v>
      </c>
      <c r="H145" s="479">
        <v>14300</v>
      </c>
      <c r="I145" s="479">
        <v>14300</v>
      </c>
      <c r="J145" s="479">
        <f>G145*1.045</f>
        <v>14947.3038</v>
      </c>
      <c r="K145" s="479">
        <f>J145*1.043</f>
        <v>15590.037863399999</v>
      </c>
      <c r="L145" s="1667">
        <f>K145*1.043</f>
        <v>16260.409491526198</v>
      </c>
      <c r="M145" s="1605">
        <f t="shared" si="35"/>
        <v>14947.3038</v>
      </c>
      <c r="N145" s="416"/>
      <c r="O145" s="1030"/>
    </row>
    <row r="146" spans="1:17" hidden="1">
      <c r="A146" s="244" t="s">
        <v>1248</v>
      </c>
      <c r="B146" s="1628" t="s">
        <v>1247</v>
      </c>
      <c r="C146" s="92" t="s">
        <v>32</v>
      </c>
      <c r="D146" s="416">
        <f t="shared" ref="D146:O146" si="47">(D147*D148*12)/1000</f>
        <v>0</v>
      </c>
      <c r="E146" s="479">
        <f t="shared" si="47"/>
        <v>8096.4</v>
      </c>
      <c r="F146" s="479">
        <f t="shared" si="47"/>
        <v>0</v>
      </c>
      <c r="G146" s="479">
        <f t="shared" si="47"/>
        <v>8582.1840000000011</v>
      </c>
      <c r="H146" s="479">
        <f>(H147*H148*6)/1000</f>
        <v>4033.4459999999999</v>
      </c>
      <c r="I146" s="479">
        <f>(I147*I148*6)/1000</f>
        <v>4033.4459999999999</v>
      </c>
      <c r="J146" s="479">
        <f t="shared" si="47"/>
        <v>8968.3822799999998</v>
      </c>
      <c r="K146" s="479">
        <f t="shared" si="47"/>
        <v>9354.0227180399979</v>
      </c>
      <c r="L146" s="479">
        <f t="shared" si="47"/>
        <v>9756.2456949157186</v>
      </c>
      <c r="M146" s="1605">
        <f t="shared" si="35"/>
        <v>8968.3822799999998</v>
      </c>
      <c r="N146" s="416">
        <f t="shared" si="47"/>
        <v>0</v>
      </c>
      <c r="O146" s="1030">
        <f t="shared" si="47"/>
        <v>0</v>
      </c>
    </row>
    <row r="147" spans="1:17" ht="18" hidden="1" customHeight="1">
      <c r="A147" s="244"/>
      <c r="B147" s="34" t="s">
        <v>626</v>
      </c>
      <c r="C147" s="92" t="s">
        <v>407</v>
      </c>
      <c r="D147" s="416"/>
      <c r="E147" s="479">
        <v>50</v>
      </c>
      <c r="F147" s="479"/>
      <c r="G147" s="479">
        <v>50</v>
      </c>
      <c r="H147" s="479">
        <v>47</v>
      </c>
      <c r="I147" s="479">
        <v>47</v>
      </c>
      <c r="J147" s="479">
        <v>50</v>
      </c>
      <c r="K147" s="479">
        <v>50</v>
      </c>
      <c r="L147" s="1667">
        <v>50</v>
      </c>
      <c r="M147" s="1605">
        <f t="shared" si="35"/>
        <v>50</v>
      </c>
      <c r="N147" s="416"/>
      <c r="O147" s="1030"/>
      <c r="P147" s="423"/>
    </row>
    <row r="148" spans="1:17" ht="30" hidden="1">
      <c r="A148" s="244"/>
      <c r="B148" s="34" t="s">
        <v>290</v>
      </c>
      <c r="C148" s="92" t="s">
        <v>291</v>
      </c>
      <c r="D148" s="416"/>
      <c r="E148" s="479">
        <v>13494</v>
      </c>
      <c r="F148" s="479"/>
      <c r="G148" s="479">
        <f>E148*1.06</f>
        <v>14303.640000000001</v>
      </c>
      <c r="H148" s="479">
        <v>14303</v>
      </c>
      <c r="I148" s="479">
        <v>14303</v>
      </c>
      <c r="J148" s="416">
        <f>G148*1.045</f>
        <v>14947.3038</v>
      </c>
      <c r="K148" s="416">
        <f>J148*1.043</f>
        <v>15590.037863399999</v>
      </c>
      <c r="L148" s="415">
        <f>K148*1.043</f>
        <v>16260.409491526198</v>
      </c>
      <c r="M148" s="1605">
        <f t="shared" si="35"/>
        <v>14947.3038</v>
      </c>
      <c r="N148" s="1604"/>
      <c r="O148" s="1030"/>
    </row>
    <row r="149" spans="1:17" ht="15.75" hidden="1" thickBot="1">
      <c r="A149" s="1626"/>
      <c r="B149" s="1627"/>
      <c r="C149" s="255"/>
      <c r="D149" s="445"/>
      <c r="E149" s="483"/>
      <c r="F149" s="483"/>
      <c r="G149" s="483"/>
      <c r="H149" s="483"/>
      <c r="I149" s="483"/>
      <c r="J149" s="445"/>
      <c r="K149" s="445"/>
      <c r="L149" s="1590"/>
      <c r="M149" s="1605">
        <f t="shared" si="35"/>
        <v>0</v>
      </c>
      <c r="N149" s="445"/>
      <c r="O149" s="1060"/>
    </row>
    <row r="150" spans="1:17" ht="15.75" hidden="1" thickBot="1">
      <c r="A150" s="248"/>
      <c r="B150" s="249" t="s">
        <v>458</v>
      </c>
      <c r="C150" s="250" t="s">
        <v>11</v>
      </c>
      <c r="D150" s="482">
        <f>D112</f>
        <v>99078.643656000015</v>
      </c>
      <c r="E150" s="482">
        <f>E112</f>
        <v>161397.15701400003</v>
      </c>
      <c r="F150" s="482">
        <f t="shared" ref="F150:L150" si="48">F112</f>
        <v>166992.19523449324</v>
      </c>
      <c r="G150" s="482">
        <f t="shared" si="48"/>
        <v>178698.94954560001</v>
      </c>
      <c r="H150" s="482">
        <f t="shared" si="48"/>
        <v>82328.2785</v>
      </c>
      <c r="I150" s="482">
        <f t="shared" si="48"/>
        <v>172323.99966600002</v>
      </c>
      <c r="J150" s="482">
        <f t="shared" si="48"/>
        <v>164992.3734288</v>
      </c>
      <c r="K150" s="482">
        <f t="shared" si="48"/>
        <v>169181.66385183836</v>
      </c>
      <c r="L150" s="482">
        <f t="shared" si="48"/>
        <v>176456.47539746738</v>
      </c>
      <c r="M150" s="482">
        <f t="shared" si="35"/>
        <v>164992.3734288</v>
      </c>
      <c r="N150" s="482">
        <f t="shared" ref="N150:O150" si="49">N112+N116+N119</f>
        <v>0</v>
      </c>
      <c r="O150" s="1606">
        <f t="shared" si="49"/>
        <v>0</v>
      </c>
      <c r="P150" s="423"/>
    </row>
    <row r="151" spans="1:17" ht="15.75" hidden="1" thickBot="1">
      <c r="A151" s="251"/>
      <c r="B151" s="252" t="s">
        <v>376</v>
      </c>
      <c r="C151" s="253" t="s">
        <v>280</v>
      </c>
      <c r="D151" s="445">
        <v>30.2</v>
      </c>
      <c r="E151" s="445">
        <v>30.2</v>
      </c>
      <c r="F151" s="483">
        <v>30.2</v>
      </c>
      <c r="G151" s="483">
        <v>30.2</v>
      </c>
      <c r="H151" s="483">
        <v>30.2</v>
      </c>
      <c r="I151" s="483">
        <v>30.2</v>
      </c>
      <c r="J151" s="445">
        <v>30.2</v>
      </c>
      <c r="K151" s="445">
        <v>30.2</v>
      </c>
      <c r="L151" s="1590">
        <v>30.2</v>
      </c>
      <c r="M151" s="1605">
        <f t="shared" si="35"/>
        <v>30.2</v>
      </c>
      <c r="N151" s="445"/>
      <c r="O151" s="1060"/>
    </row>
    <row r="152" spans="1:17" ht="15.75" hidden="1" thickBot="1">
      <c r="A152" s="254"/>
      <c r="B152" s="249" t="s">
        <v>459</v>
      </c>
      <c r="C152" s="250" t="s">
        <v>11</v>
      </c>
      <c r="D152" s="482">
        <f>D150*D151/100</f>
        <v>29921.750384112005</v>
      </c>
      <c r="E152" s="482">
        <f t="shared" ref="E152:L152" si="50">E150*E151/100</f>
        <v>48741.941418228009</v>
      </c>
      <c r="F152" s="482">
        <f t="shared" si="50"/>
        <v>50431.642960816956</v>
      </c>
      <c r="G152" s="482">
        <f t="shared" si="50"/>
        <v>53967.082762771199</v>
      </c>
      <c r="H152" s="482">
        <f t="shared" si="50"/>
        <v>24863.140106999999</v>
      </c>
      <c r="I152" s="482">
        <f t="shared" si="50"/>
        <v>52041.847899132008</v>
      </c>
      <c r="J152" s="482">
        <f t="shared" si="50"/>
        <v>49827.696775497599</v>
      </c>
      <c r="K152" s="482">
        <f t="shared" si="50"/>
        <v>51092.862483255187</v>
      </c>
      <c r="L152" s="1589">
        <f t="shared" si="50"/>
        <v>53289.85557003515</v>
      </c>
      <c r="M152" s="1589">
        <f t="shared" si="35"/>
        <v>49827.696775497599</v>
      </c>
      <c r="N152" s="482">
        <f t="shared" ref="N152:O152" si="51">N150*N151</f>
        <v>0</v>
      </c>
      <c r="O152" s="1606">
        <f t="shared" si="51"/>
        <v>0</v>
      </c>
      <c r="P152" s="423"/>
    </row>
    <row r="153" spans="1:17" ht="17.25" hidden="1" customHeight="1" thickBot="1">
      <c r="A153" s="251"/>
      <c r="B153" s="252" t="s">
        <v>460</v>
      </c>
      <c r="C153" s="255"/>
      <c r="D153" s="445">
        <f t="shared" ref="D153:O153" si="52">D113+D117+D120</f>
        <v>465.70000000000005</v>
      </c>
      <c r="E153" s="483">
        <f t="shared" si="52"/>
        <v>684.12520000000006</v>
      </c>
      <c r="F153" s="483">
        <f t="shared" si="52"/>
        <v>650</v>
      </c>
      <c r="G153" s="483">
        <f t="shared" si="52"/>
        <v>708.87</v>
      </c>
      <c r="H153" s="483">
        <f t="shared" si="52"/>
        <v>689</v>
      </c>
      <c r="I153" s="483">
        <f t="shared" si="52"/>
        <v>689</v>
      </c>
      <c r="J153" s="445">
        <f>J113</f>
        <v>533.07399999999996</v>
      </c>
      <c r="K153" s="445">
        <f t="shared" si="52"/>
        <v>629.07399999999996</v>
      </c>
      <c r="L153" s="1590">
        <f t="shared" si="52"/>
        <v>629.07399999999996</v>
      </c>
      <c r="M153" s="1605">
        <v>533.07000000000005</v>
      </c>
      <c r="N153" s="445">
        <f t="shared" si="52"/>
        <v>0</v>
      </c>
      <c r="O153" s="1060">
        <f t="shared" si="52"/>
        <v>0</v>
      </c>
      <c r="P153" s="423"/>
      <c r="Q153" s="423"/>
    </row>
    <row r="154" spans="1:17" ht="15.75" thickBot="1">
      <c r="A154" s="256" t="s">
        <v>461</v>
      </c>
      <c r="B154" s="257" t="s">
        <v>370</v>
      </c>
      <c r="C154" s="258"/>
      <c r="D154" s="484"/>
      <c r="E154" s="484"/>
      <c r="F154" s="484"/>
      <c r="G154" s="484"/>
      <c r="H154" s="484"/>
      <c r="I154" s="484"/>
      <c r="J154" s="484"/>
      <c r="K154" s="484"/>
      <c r="L154" s="1591"/>
      <c r="M154" s="1607"/>
      <c r="N154" s="484"/>
      <c r="O154" s="1608"/>
    </row>
    <row r="155" spans="1:17" ht="15.75" thickBot="1">
      <c r="A155" s="1638" t="s">
        <v>462</v>
      </c>
      <c r="B155" s="1637" t="s">
        <v>1218</v>
      </c>
      <c r="C155" s="273" t="s">
        <v>32</v>
      </c>
      <c r="D155" s="494">
        <f>(D156*D157*12)/1000</f>
        <v>58245.100000000006</v>
      </c>
      <c r="E155" s="494">
        <f>E156*12*E157/1000</f>
        <v>114654.86963512802</v>
      </c>
      <c r="F155" s="494">
        <v>121574.42284090909</v>
      </c>
      <c r="G155" s="494">
        <f>G156*12*G157/1000</f>
        <v>124180.611084</v>
      </c>
      <c r="H155" s="494">
        <f>H156*6*H157/1000</f>
        <v>57211.78944</v>
      </c>
      <c r="I155" s="494">
        <f>I156*12*I157/1000</f>
        <v>119750.592</v>
      </c>
      <c r="J155" s="494">
        <f>J156*12*J157/1000</f>
        <v>114655.77275952</v>
      </c>
      <c r="K155" s="494">
        <f t="shared" ref="K155:L155" si="53">K156*12*K157/1000</f>
        <v>117648.95978337935</v>
      </c>
      <c r="L155" s="1598">
        <f t="shared" si="53"/>
        <v>122707.86505406466</v>
      </c>
      <c r="M155" s="1620">
        <f>M156*M157*12/1000</f>
        <v>114655.77275952</v>
      </c>
      <c r="N155" s="494">
        <f t="shared" ref="N155:O155" si="54">(N156*N157*12)/1000</f>
        <v>0</v>
      </c>
      <c r="O155" s="1621">
        <f t="shared" si="54"/>
        <v>0</v>
      </c>
    </row>
    <row r="156" spans="1:17" ht="45">
      <c r="A156" s="259"/>
      <c r="B156" s="1636" t="s">
        <v>625</v>
      </c>
      <c r="C156" s="26" t="s">
        <v>407</v>
      </c>
      <c r="D156" s="486">
        <f>248+48.8</f>
        <v>296.8</v>
      </c>
      <c r="E156" s="486">
        <v>411.553</v>
      </c>
      <c r="F156" s="486">
        <v>435</v>
      </c>
      <c r="G156" s="486">
        <v>419.63400000000001</v>
      </c>
      <c r="H156" s="486">
        <v>416</v>
      </c>
      <c r="I156" s="486">
        <v>416</v>
      </c>
      <c r="J156" s="485">
        <v>370.42419999999998</v>
      </c>
      <c r="K156" s="485">
        <f>J156-6</f>
        <v>364.42419999999998</v>
      </c>
      <c r="L156" s="1592">
        <f>K156</f>
        <v>364.42419999999998</v>
      </c>
      <c r="M156" s="1609">
        <f>J156</f>
        <v>370.42419999999998</v>
      </c>
      <c r="N156" s="485"/>
      <c r="O156" s="1610"/>
    </row>
    <row r="157" spans="1:17" ht="30">
      <c r="A157" s="244"/>
      <c r="B157" s="34" t="s">
        <v>290</v>
      </c>
      <c r="C157" s="92" t="s">
        <v>291</v>
      </c>
      <c r="D157" s="479">
        <f>58245.1/D156/12*1000</f>
        <v>16353.633198562446</v>
      </c>
      <c r="E157" s="479">
        <v>23215.898000000001</v>
      </c>
      <c r="F157" s="479">
        <v>23290.11931818182</v>
      </c>
      <c r="G157" s="479">
        <v>24660.5</v>
      </c>
      <c r="H157" s="479">
        <v>22921.39</v>
      </c>
      <c r="I157" s="479">
        <v>23988.5</v>
      </c>
      <c r="J157" s="416">
        <v>25793.8</v>
      </c>
      <c r="K157" s="416">
        <f>J157*1.043</f>
        <v>26902.933399999998</v>
      </c>
      <c r="L157" s="415">
        <f>K157*1.043</f>
        <v>28059.759536199996</v>
      </c>
      <c r="M157" s="1604">
        <f>J157</f>
        <v>25793.8</v>
      </c>
      <c r="N157" s="416"/>
      <c r="O157" s="1030"/>
    </row>
    <row r="158" spans="1:17">
      <c r="A158" s="244" t="s">
        <v>150</v>
      </c>
      <c r="B158" s="1625" t="s">
        <v>1246</v>
      </c>
      <c r="C158" s="92" t="s">
        <v>32</v>
      </c>
      <c r="D158" s="416">
        <f>(D159*D160*12)/1000</f>
        <v>0</v>
      </c>
      <c r="E158" s="479">
        <f t="shared" ref="E158:O158" si="55">(E159*E160*12)/1000</f>
        <v>22230.619824000001</v>
      </c>
      <c r="F158" s="479">
        <f t="shared" si="55"/>
        <v>0</v>
      </c>
      <c r="G158" s="479">
        <v>24660</v>
      </c>
      <c r="H158" s="479">
        <v>24660</v>
      </c>
      <c r="I158" s="479">
        <v>24660</v>
      </c>
      <c r="J158" s="479">
        <f t="shared" si="55"/>
        <v>24790.6450176</v>
      </c>
      <c r="K158" s="479">
        <f t="shared" si="55"/>
        <v>25856.642753356798</v>
      </c>
      <c r="L158" s="479">
        <f t="shared" si="55"/>
        <v>26968.478391751141</v>
      </c>
      <c r="M158" s="2646">
        <f>M160*M159*12/1000</f>
        <v>24790.6450176</v>
      </c>
      <c r="N158" s="416">
        <f t="shared" si="55"/>
        <v>0</v>
      </c>
      <c r="O158" s="1030">
        <f t="shared" si="55"/>
        <v>0</v>
      </c>
    </row>
    <row r="159" spans="1:17" ht="20.25" customHeight="1">
      <c r="A159" s="244"/>
      <c r="B159" s="34" t="s">
        <v>457</v>
      </c>
      <c r="C159" s="92" t="s">
        <v>407</v>
      </c>
      <c r="D159" s="416"/>
      <c r="E159" s="478">
        <f>169*0.4*0.97-2</f>
        <v>63.572000000000003</v>
      </c>
      <c r="F159" s="478"/>
      <c r="G159" s="478">
        <v>64</v>
      </c>
      <c r="H159" s="2043">
        <v>64</v>
      </c>
      <c r="I159" s="2043">
        <v>64</v>
      </c>
      <c r="J159" s="468">
        <v>64</v>
      </c>
      <c r="K159" s="468">
        <v>64</v>
      </c>
      <c r="L159" s="468">
        <v>64</v>
      </c>
      <c r="M159" s="1624">
        <f>J159</f>
        <v>64</v>
      </c>
      <c r="N159" s="468"/>
      <c r="O159" s="1030"/>
    </row>
    <row r="160" spans="1:17" ht="30">
      <c r="A160" s="244"/>
      <c r="B160" s="34" t="s">
        <v>290</v>
      </c>
      <c r="C160" s="92" t="s">
        <v>291</v>
      </c>
      <c r="D160" s="416"/>
      <c r="E160" s="479">
        <v>29141</v>
      </c>
      <c r="F160" s="479"/>
      <c r="G160" s="479">
        <f>E160*1.06</f>
        <v>30889.460000000003</v>
      </c>
      <c r="H160" s="479">
        <v>30889</v>
      </c>
      <c r="I160" s="479">
        <v>30889</v>
      </c>
      <c r="J160" s="416">
        <f>G160*1.045</f>
        <v>32279.485700000001</v>
      </c>
      <c r="K160" s="416">
        <f>J160*1.043</f>
        <v>33667.503585099999</v>
      </c>
      <c r="L160" s="415">
        <f>K160*1.043</f>
        <v>35115.2062392593</v>
      </c>
      <c r="M160" s="1604">
        <f>J160</f>
        <v>32279.485700000001</v>
      </c>
      <c r="N160" s="416"/>
      <c r="O160" s="1030"/>
    </row>
    <row r="161" spans="1:15">
      <c r="A161" s="244" t="s">
        <v>154</v>
      </c>
      <c r="B161" s="1625" t="s">
        <v>1220</v>
      </c>
      <c r="C161" s="92" t="s">
        <v>32</v>
      </c>
      <c r="D161" s="416">
        <f t="shared" ref="D161:O161" si="56">(D162*D163*12)/1000</f>
        <v>0</v>
      </c>
      <c r="E161" s="479">
        <f t="shared" si="56"/>
        <v>1849.0319999999999</v>
      </c>
      <c r="F161" s="479">
        <f t="shared" si="56"/>
        <v>0</v>
      </c>
      <c r="G161" s="479">
        <f t="shared" si="56"/>
        <v>1959.9739199999999</v>
      </c>
      <c r="H161" s="479">
        <f>(H162*H163*6)/1000</f>
        <v>979.95600000000002</v>
      </c>
      <c r="I161" s="479">
        <f t="shared" ref="I161" si="57">(I162*I163*12)/1000</f>
        <v>1959.912</v>
      </c>
      <c r="J161" s="479">
        <f t="shared" si="56"/>
        <v>2048.1727464000001</v>
      </c>
      <c r="K161" s="479">
        <f t="shared" si="56"/>
        <v>2136.2441744951998</v>
      </c>
      <c r="L161" s="479">
        <f t="shared" si="56"/>
        <v>2228.1026739984927</v>
      </c>
      <c r="M161" s="2646">
        <f t="shared" si="56"/>
        <v>2048.1727464000001</v>
      </c>
      <c r="N161" s="416">
        <f t="shared" si="56"/>
        <v>0</v>
      </c>
      <c r="O161" s="1030">
        <f t="shared" si="56"/>
        <v>0</v>
      </c>
    </row>
    <row r="162" spans="1:15" ht="30">
      <c r="A162" s="244"/>
      <c r="B162" s="34" t="s">
        <v>626</v>
      </c>
      <c r="C162" s="92" t="s">
        <v>407</v>
      </c>
      <c r="D162" s="416"/>
      <c r="E162" s="479">
        <v>6</v>
      </c>
      <c r="F162" s="479"/>
      <c r="G162" s="479">
        <v>6</v>
      </c>
      <c r="H162" s="479">
        <v>6</v>
      </c>
      <c r="I162" s="479">
        <v>6</v>
      </c>
      <c r="J162" s="416">
        <v>6</v>
      </c>
      <c r="K162" s="416">
        <v>6</v>
      </c>
      <c r="L162" s="415">
        <v>6</v>
      </c>
      <c r="M162" s="1604">
        <f>J162</f>
        <v>6</v>
      </c>
      <c r="N162" s="416"/>
      <c r="O162" s="1030"/>
    </row>
    <row r="163" spans="1:15" ht="30">
      <c r="A163" s="244"/>
      <c r="B163" s="34" t="s">
        <v>290</v>
      </c>
      <c r="C163" s="92" t="s">
        <v>291</v>
      </c>
      <c r="D163" s="416"/>
      <c r="E163" s="479">
        <v>25681</v>
      </c>
      <c r="F163" s="479"/>
      <c r="G163" s="479">
        <f>E163*1.06</f>
        <v>27221.86</v>
      </c>
      <c r="H163" s="479">
        <v>27221</v>
      </c>
      <c r="I163" s="479">
        <v>27221</v>
      </c>
      <c r="J163" s="479">
        <f>G163*1.045</f>
        <v>28446.843699999998</v>
      </c>
      <c r="K163" s="479">
        <f>J163*1.043</f>
        <v>29670.057979099995</v>
      </c>
      <c r="L163" s="1667">
        <f>K163*1.043</f>
        <v>30945.870472201292</v>
      </c>
      <c r="M163" s="1604">
        <f>J163</f>
        <v>28446.843699999998</v>
      </c>
      <c r="N163" s="416"/>
      <c r="O163" s="1030"/>
    </row>
    <row r="164" spans="1:15" ht="30">
      <c r="A164" s="244" t="s">
        <v>1221</v>
      </c>
      <c r="B164" s="1628" t="s">
        <v>1222</v>
      </c>
      <c r="C164" s="92" t="s">
        <v>32</v>
      </c>
      <c r="D164" s="416">
        <f t="shared" ref="D164:O164" si="58">(D165*D166*12)/1000</f>
        <v>0</v>
      </c>
      <c r="E164" s="479">
        <f t="shared" si="58"/>
        <v>10945.74</v>
      </c>
      <c r="F164" s="479">
        <f t="shared" si="58"/>
        <v>0</v>
      </c>
      <c r="G164" s="479">
        <f t="shared" si="58"/>
        <v>11602.484400000001</v>
      </c>
      <c r="H164" s="479">
        <f>(H165*H166*6)/1000</f>
        <v>5800.86</v>
      </c>
      <c r="I164" s="479">
        <f t="shared" ref="I164" si="59">(I165*I166*12)/1000</f>
        <v>11601.72</v>
      </c>
      <c r="J164" s="479">
        <f t="shared" si="58"/>
        <v>12124.596198000001</v>
      </c>
      <c r="K164" s="479">
        <f t="shared" si="58"/>
        <v>12645.953834513999</v>
      </c>
      <c r="L164" s="479">
        <f t="shared" si="58"/>
        <v>13189.729849398103</v>
      </c>
      <c r="M164" s="2646">
        <f t="shared" si="58"/>
        <v>12124.596198000001</v>
      </c>
      <c r="N164" s="416">
        <f t="shared" si="58"/>
        <v>0</v>
      </c>
      <c r="O164" s="1030">
        <f t="shared" si="58"/>
        <v>0</v>
      </c>
    </row>
    <row r="165" spans="1:15" ht="30">
      <c r="A165" s="244"/>
      <c r="B165" s="34" t="s">
        <v>626</v>
      </c>
      <c r="C165" s="92" t="s">
        <v>407</v>
      </c>
      <c r="D165" s="416"/>
      <c r="E165" s="479">
        <v>65</v>
      </c>
      <c r="F165" s="479"/>
      <c r="G165" s="479">
        <v>65</v>
      </c>
      <c r="H165" s="479">
        <v>65</v>
      </c>
      <c r="I165" s="479">
        <v>65</v>
      </c>
      <c r="J165" s="479">
        <v>65</v>
      </c>
      <c r="K165" s="479">
        <v>65</v>
      </c>
      <c r="L165" s="1667">
        <v>65</v>
      </c>
      <c r="M165" s="1604">
        <f>J165</f>
        <v>65</v>
      </c>
      <c r="N165" s="416"/>
      <c r="O165" s="1030"/>
    </row>
    <row r="166" spans="1:15" ht="30">
      <c r="A166" s="244"/>
      <c r="B166" s="34" t="s">
        <v>290</v>
      </c>
      <c r="C166" s="92" t="s">
        <v>291</v>
      </c>
      <c r="D166" s="416"/>
      <c r="E166" s="479">
        <v>14033</v>
      </c>
      <c r="F166" s="479"/>
      <c r="G166" s="479">
        <f>E166*1.06</f>
        <v>14874.980000000001</v>
      </c>
      <c r="H166" s="479">
        <v>14874</v>
      </c>
      <c r="I166" s="479">
        <v>14874</v>
      </c>
      <c r="J166" s="479">
        <f>G166*1.045</f>
        <v>15544.3541</v>
      </c>
      <c r="K166" s="479">
        <f>J166*1.043</f>
        <v>16212.761326299998</v>
      </c>
      <c r="L166" s="1667">
        <f>K166*1.043</f>
        <v>16909.910063330899</v>
      </c>
      <c r="M166" s="1604">
        <f>J166</f>
        <v>15544.3541</v>
      </c>
      <c r="N166" s="416"/>
      <c r="O166" s="1030"/>
    </row>
    <row r="167" spans="1:15" ht="30">
      <c r="A167" s="244" t="s">
        <v>1224</v>
      </c>
      <c r="B167" s="1628" t="s">
        <v>1223</v>
      </c>
      <c r="C167" s="92" t="s">
        <v>32</v>
      </c>
      <c r="D167" s="416">
        <f t="shared" ref="D167:O167" si="60">(D168*D169*12)/1000</f>
        <v>0</v>
      </c>
      <c r="E167" s="479">
        <f t="shared" si="60"/>
        <v>10117.08</v>
      </c>
      <c r="F167" s="479">
        <f t="shared" si="60"/>
        <v>0</v>
      </c>
      <c r="G167" s="479">
        <f t="shared" si="60"/>
        <v>10724.104800000001</v>
      </c>
      <c r="H167" s="479">
        <f>(H168*H169*6)/1000</f>
        <v>5362.0524000000005</v>
      </c>
      <c r="I167" s="479">
        <f t="shared" ref="I167" si="61">(I168*I169*12)/1000</f>
        <v>10724.104800000001</v>
      </c>
      <c r="J167" s="479">
        <f t="shared" si="60"/>
        <v>11206.689515999999</v>
      </c>
      <c r="K167" s="479">
        <f t="shared" si="60"/>
        <v>11688.577165188</v>
      </c>
      <c r="L167" s="479">
        <f t="shared" si="60"/>
        <v>12191.18598329108</v>
      </c>
      <c r="M167" s="2646">
        <f t="shared" si="60"/>
        <v>11206.689515999999</v>
      </c>
      <c r="N167" s="416">
        <f t="shared" si="60"/>
        <v>0</v>
      </c>
      <c r="O167" s="1030">
        <f t="shared" si="60"/>
        <v>0</v>
      </c>
    </row>
    <row r="168" spans="1:15" ht="30">
      <c r="A168" s="244"/>
      <c r="B168" s="34" t="s">
        <v>626</v>
      </c>
      <c r="C168" s="92" t="s">
        <v>407</v>
      </c>
      <c r="D168" s="416"/>
      <c r="E168" s="479">
        <v>30</v>
      </c>
      <c r="F168" s="479"/>
      <c r="G168" s="479">
        <v>30</v>
      </c>
      <c r="H168" s="479">
        <v>30</v>
      </c>
      <c r="I168" s="479">
        <v>30</v>
      </c>
      <c r="J168" s="479">
        <v>30</v>
      </c>
      <c r="K168" s="479">
        <v>30</v>
      </c>
      <c r="L168" s="1667">
        <v>30</v>
      </c>
      <c r="M168" s="1604">
        <f>J168</f>
        <v>30</v>
      </c>
      <c r="N168" s="416"/>
      <c r="O168" s="1030"/>
    </row>
    <row r="169" spans="1:15" ht="30">
      <c r="A169" s="244"/>
      <c r="B169" s="34" t="s">
        <v>290</v>
      </c>
      <c r="C169" s="92" t="s">
        <v>291</v>
      </c>
      <c r="D169" s="416"/>
      <c r="E169" s="479">
        <v>28103</v>
      </c>
      <c r="F169" s="479"/>
      <c r="G169" s="479">
        <f>E169*1.06</f>
        <v>29789.18</v>
      </c>
      <c r="H169" s="479">
        <v>29789.18</v>
      </c>
      <c r="I169" s="479">
        <v>29789.18</v>
      </c>
      <c r="J169" s="416">
        <f>G169*1.045</f>
        <v>31129.693099999997</v>
      </c>
      <c r="K169" s="416">
        <f>J169*1.043</f>
        <v>32468.269903299995</v>
      </c>
      <c r="L169" s="415">
        <f>K169*1.043</f>
        <v>33864.405509141892</v>
      </c>
      <c r="M169" s="1604">
        <f>J169</f>
        <v>31129.693099999997</v>
      </c>
      <c r="N169" s="416"/>
      <c r="O169" s="1030"/>
    </row>
    <row r="170" spans="1:15" ht="60">
      <c r="A170" s="244" t="s">
        <v>1225</v>
      </c>
      <c r="B170" s="1628" t="s">
        <v>1226</v>
      </c>
      <c r="C170" s="92" t="s">
        <v>32</v>
      </c>
      <c r="D170" s="416">
        <f t="shared" ref="D170:O170" si="62">(D171*D172*12)/1000</f>
        <v>0</v>
      </c>
      <c r="E170" s="479">
        <f t="shared" si="62"/>
        <v>21920.34</v>
      </c>
      <c r="F170" s="479">
        <f t="shared" si="62"/>
        <v>0</v>
      </c>
      <c r="G170" s="479">
        <f t="shared" si="62"/>
        <v>23235.560399999998</v>
      </c>
      <c r="H170" s="479">
        <f>(H171*H172*6)/1000</f>
        <v>11617.71</v>
      </c>
      <c r="I170" s="479">
        <f t="shared" ref="I170" si="63">(I171*I172*12)/1000</f>
        <v>23235.42</v>
      </c>
      <c r="J170" s="479">
        <f t="shared" si="62"/>
        <v>24281.160617999998</v>
      </c>
      <c r="K170" s="479">
        <f t="shared" si="62"/>
        <v>25325.250524573996</v>
      </c>
      <c r="L170" s="479">
        <f t="shared" si="62"/>
        <v>26414.236297130676</v>
      </c>
      <c r="M170" s="2646">
        <f t="shared" si="62"/>
        <v>24281.160617999998</v>
      </c>
      <c r="N170" s="416">
        <f t="shared" si="62"/>
        <v>0</v>
      </c>
      <c r="O170" s="1030">
        <f t="shared" si="62"/>
        <v>0</v>
      </c>
    </row>
    <row r="171" spans="1:15" ht="30">
      <c r="A171" s="244"/>
      <c r="B171" s="34" t="s">
        <v>626</v>
      </c>
      <c r="C171" s="92" t="s">
        <v>407</v>
      </c>
      <c r="D171" s="416"/>
      <c r="E171" s="479">
        <v>65</v>
      </c>
      <c r="F171" s="479"/>
      <c r="G171" s="479">
        <v>65</v>
      </c>
      <c r="H171" s="479">
        <v>65</v>
      </c>
      <c r="I171" s="479">
        <v>65</v>
      </c>
      <c r="J171" s="479">
        <v>65</v>
      </c>
      <c r="K171" s="479">
        <v>65</v>
      </c>
      <c r="L171" s="1667">
        <v>65</v>
      </c>
      <c r="M171" s="1604">
        <f>J171</f>
        <v>65</v>
      </c>
      <c r="N171" s="416"/>
      <c r="O171" s="1030"/>
    </row>
    <row r="172" spans="1:15" ht="30">
      <c r="A172" s="244"/>
      <c r="B172" s="34" t="s">
        <v>290</v>
      </c>
      <c r="C172" s="92" t="s">
        <v>291</v>
      </c>
      <c r="D172" s="416"/>
      <c r="E172" s="479">
        <v>28103</v>
      </c>
      <c r="F172" s="479"/>
      <c r="G172" s="479">
        <f>E172*1.06</f>
        <v>29789.18</v>
      </c>
      <c r="H172" s="479">
        <v>29789</v>
      </c>
      <c r="I172" s="479">
        <v>29789</v>
      </c>
      <c r="J172" s="479">
        <f>G172*1.045</f>
        <v>31129.693099999997</v>
      </c>
      <c r="K172" s="479">
        <f>J172*1.043</f>
        <v>32468.269903299995</v>
      </c>
      <c r="L172" s="1667">
        <f>K172*1.043</f>
        <v>33864.405509141892</v>
      </c>
      <c r="M172" s="1604">
        <f>J172</f>
        <v>31129.693099999997</v>
      </c>
      <c r="N172" s="416"/>
      <c r="O172" s="1030"/>
    </row>
    <row r="173" spans="1:15" ht="30">
      <c r="A173" s="244" t="s">
        <v>1227</v>
      </c>
      <c r="B173" s="1628" t="s">
        <v>1229</v>
      </c>
      <c r="C173" s="92" t="s">
        <v>32</v>
      </c>
      <c r="D173" s="416">
        <f t="shared" ref="D173:O173" si="64">(D174*D175*12)/1000</f>
        <v>0</v>
      </c>
      <c r="E173" s="479">
        <f t="shared" si="64"/>
        <v>681.6</v>
      </c>
      <c r="F173" s="479">
        <f t="shared" si="64"/>
        <v>0</v>
      </c>
      <c r="G173" s="479">
        <f t="shared" si="64"/>
        <v>722.49599999999998</v>
      </c>
      <c r="H173" s="479">
        <f>(H174*H175*6)/1000</f>
        <v>361.24799999999999</v>
      </c>
      <c r="I173" s="479">
        <f t="shared" ref="I173" si="65">(I174*I175*12)/1000</f>
        <v>722.49599999999998</v>
      </c>
      <c r="J173" s="479">
        <f t="shared" si="64"/>
        <v>755.00831999999991</v>
      </c>
      <c r="K173" s="479">
        <f t="shared" si="64"/>
        <v>787.47367775999987</v>
      </c>
      <c r="L173" s="479">
        <f t="shared" si="64"/>
        <v>821.33504590367966</v>
      </c>
      <c r="M173" s="2646">
        <f t="shared" si="64"/>
        <v>755.00831999999991</v>
      </c>
      <c r="N173" s="416">
        <f t="shared" si="64"/>
        <v>0</v>
      </c>
      <c r="O173" s="1030">
        <f t="shared" si="64"/>
        <v>0</v>
      </c>
    </row>
    <row r="174" spans="1:15" ht="30">
      <c r="A174" s="244"/>
      <c r="B174" s="34" t="s">
        <v>626</v>
      </c>
      <c r="C174" s="92" t="s">
        <v>407</v>
      </c>
      <c r="D174" s="416"/>
      <c r="E174" s="479">
        <v>4</v>
      </c>
      <c r="F174" s="479"/>
      <c r="G174" s="479">
        <v>4</v>
      </c>
      <c r="H174" s="479">
        <v>4</v>
      </c>
      <c r="I174" s="479">
        <v>4</v>
      </c>
      <c r="J174" s="479">
        <v>4</v>
      </c>
      <c r="K174" s="479">
        <v>4</v>
      </c>
      <c r="L174" s="1667">
        <v>4</v>
      </c>
      <c r="M174" s="1604">
        <f>J174</f>
        <v>4</v>
      </c>
      <c r="N174" s="416"/>
      <c r="O174" s="1030"/>
    </row>
    <row r="175" spans="1:15" ht="30">
      <c r="A175" s="244"/>
      <c r="B175" s="34" t="s">
        <v>290</v>
      </c>
      <c r="C175" s="92" t="s">
        <v>291</v>
      </c>
      <c r="D175" s="416"/>
      <c r="E175" s="479">
        <v>14200</v>
      </c>
      <c r="F175" s="479"/>
      <c r="G175" s="479">
        <f>E175*1.06</f>
        <v>15052</v>
      </c>
      <c r="H175" s="479">
        <v>15052</v>
      </c>
      <c r="I175" s="479">
        <v>15052</v>
      </c>
      <c r="J175" s="479">
        <f>G175*1.045</f>
        <v>15729.339999999998</v>
      </c>
      <c r="K175" s="479">
        <f>J175*1.043</f>
        <v>16405.701619999996</v>
      </c>
      <c r="L175" s="1667">
        <f>K175*1.043</f>
        <v>17111.146789659993</v>
      </c>
      <c r="M175" s="1604">
        <f>J175</f>
        <v>15729.339999999998</v>
      </c>
      <c r="N175" s="416"/>
      <c r="O175" s="1030"/>
    </row>
    <row r="176" spans="1:15" ht="30">
      <c r="A176" s="244" t="s">
        <v>1228</v>
      </c>
      <c r="B176" s="1628" t="s">
        <v>1238</v>
      </c>
      <c r="C176" s="92" t="s">
        <v>32</v>
      </c>
      <c r="D176" s="416">
        <f t="shared" ref="D176:O176" si="66">(D177*D178*12)/1000</f>
        <v>0</v>
      </c>
      <c r="E176" s="479">
        <f t="shared" si="66"/>
        <v>1382.4</v>
      </c>
      <c r="F176" s="479">
        <f t="shared" si="66"/>
        <v>0</v>
      </c>
      <c r="G176" s="479">
        <f t="shared" si="66"/>
        <v>1465.3440000000001</v>
      </c>
      <c r="H176" s="479">
        <v>1465</v>
      </c>
      <c r="I176" s="479">
        <v>1465</v>
      </c>
      <c r="J176" s="479">
        <f t="shared" si="66"/>
        <v>1531.28448</v>
      </c>
      <c r="K176" s="479">
        <f t="shared" si="66"/>
        <v>1597.12971264</v>
      </c>
      <c r="L176" s="479">
        <f t="shared" si="66"/>
        <v>1665.8062902835197</v>
      </c>
      <c r="M176" s="2646">
        <f t="shared" si="66"/>
        <v>1531.28448</v>
      </c>
      <c r="N176" s="416">
        <f t="shared" si="66"/>
        <v>0</v>
      </c>
      <c r="O176" s="1030">
        <f t="shared" si="66"/>
        <v>0</v>
      </c>
    </row>
    <row r="177" spans="1:18" ht="30">
      <c r="A177" s="244"/>
      <c r="B177" s="34" t="s">
        <v>626</v>
      </c>
      <c r="C177" s="92" t="s">
        <v>407</v>
      </c>
      <c r="D177" s="416"/>
      <c r="E177" s="479">
        <v>9</v>
      </c>
      <c r="F177" s="479"/>
      <c r="G177" s="479">
        <v>9</v>
      </c>
      <c r="H177" s="479">
        <v>9</v>
      </c>
      <c r="I177" s="479">
        <v>9</v>
      </c>
      <c r="J177" s="479">
        <v>9</v>
      </c>
      <c r="K177" s="479">
        <v>9</v>
      </c>
      <c r="L177" s="1667">
        <v>9</v>
      </c>
      <c r="M177" s="1604">
        <f>J177</f>
        <v>9</v>
      </c>
      <c r="N177" s="416"/>
      <c r="O177" s="1030"/>
    </row>
    <row r="178" spans="1:18" ht="30">
      <c r="A178" s="244"/>
      <c r="B178" s="34" t="s">
        <v>290</v>
      </c>
      <c r="C178" s="92" t="s">
        <v>291</v>
      </c>
      <c r="D178" s="416"/>
      <c r="E178" s="479">
        <v>12800</v>
      </c>
      <c r="F178" s="479"/>
      <c r="G178" s="479">
        <f>E178*1.06</f>
        <v>13568</v>
      </c>
      <c r="H178" s="479">
        <v>13568</v>
      </c>
      <c r="I178" s="479">
        <v>13568</v>
      </c>
      <c r="J178" s="479">
        <f>G178*1.045</f>
        <v>14178.56</v>
      </c>
      <c r="K178" s="479">
        <f>J178*1.043</f>
        <v>14788.238079999999</v>
      </c>
      <c r="L178" s="1667">
        <f>K178*1.043</f>
        <v>15424.132317439999</v>
      </c>
      <c r="M178" s="1604">
        <f>J178</f>
        <v>14178.56</v>
      </c>
      <c r="N178" s="416"/>
      <c r="O178" s="1030"/>
    </row>
    <row r="179" spans="1:18">
      <c r="A179" s="244" t="s">
        <v>1232</v>
      </c>
      <c r="B179" s="1628" t="s">
        <v>1231</v>
      </c>
      <c r="C179" s="92" t="s">
        <v>32</v>
      </c>
      <c r="D179" s="416">
        <f t="shared" ref="D179:O179" si="67">(D180*D181*12)/1000</f>
        <v>0</v>
      </c>
      <c r="E179" s="479">
        <f t="shared" si="67"/>
        <v>971.56799999999998</v>
      </c>
      <c r="F179" s="479">
        <f t="shared" si="67"/>
        <v>0</v>
      </c>
      <c r="G179" s="479">
        <f t="shared" si="67"/>
        <v>1029.8620800000001</v>
      </c>
      <c r="H179" s="479">
        <f>(H180*H181*6)/1000</f>
        <v>514.90800000000002</v>
      </c>
      <c r="I179" s="479">
        <f t="shared" ref="I179" si="68">(I180*I181*12)/1000</f>
        <v>1029.816</v>
      </c>
      <c r="J179" s="479">
        <f t="shared" si="67"/>
        <v>1076.2058736000001</v>
      </c>
      <c r="K179" s="479">
        <f t="shared" si="67"/>
        <v>1122.4827261647999</v>
      </c>
      <c r="L179" s="479">
        <f t="shared" si="67"/>
        <v>1170.7494833898863</v>
      </c>
      <c r="M179" s="2646">
        <f t="shared" si="67"/>
        <v>1076.2058736000001</v>
      </c>
      <c r="N179" s="416">
        <f t="shared" si="67"/>
        <v>0</v>
      </c>
      <c r="O179" s="1030">
        <f t="shared" si="67"/>
        <v>0</v>
      </c>
    </row>
    <row r="180" spans="1:18" ht="30">
      <c r="A180" s="244"/>
      <c r="B180" s="34" t="s">
        <v>626</v>
      </c>
      <c r="C180" s="92" t="s">
        <v>407</v>
      </c>
      <c r="D180" s="416"/>
      <c r="E180" s="479">
        <v>6</v>
      </c>
      <c r="F180" s="479"/>
      <c r="G180" s="479">
        <v>6</v>
      </c>
      <c r="H180" s="479">
        <v>6</v>
      </c>
      <c r="I180" s="479">
        <v>6</v>
      </c>
      <c r="J180" s="479">
        <v>6</v>
      </c>
      <c r="K180" s="479">
        <v>6</v>
      </c>
      <c r="L180" s="1667">
        <v>6</v>
      </c>
      <c r="M180" s="1604">
        <f>J180</f>
        <v>6</v>
      </c>
      <c r="N180" s="416"/>
      <c r="O180" s="1030"/>
    </row>
    <row r="181" spans="1:18" ht="30">
      <c r="A181" s="244"/>
      <c r="B181" s="34" t="s">
        <v>290</v>
      </c>
      <c r="C181" s="92" t="s">
        <v>291</v>
      </c>
      <c r="D181" s="416"/>
      <c r="E181" s="479">
        <v>13494</v>
      </c>
      <c r="F181" s="479"/>
      <c r="G181" s="479">
        <f>E181*1.06</f>
        <v>14303.640000000001</v>
      </c>
      <c r="H181" s="479">
        <v>14303</v>
      </c>
      <c r="I181" s="479">
        <v>14303</v>
      </c>
      <c r="J181" s="479">
        <f>G181*1.045</f>
        <v>14947.3038</v>
      </c>
      <c r="K181" s="479">
        <f>J181*1.043</f>
        <v>15590.037863399999</v>
      </c>
      <c r="L181" s="1667">
        <f>K181*1.043</f>
        <v>16260.409491526198</v>
      </c>
      <c r="M181" s="1604">
        <f>J181</f>
        <v>14947.3038</v>
      </c>
      <c r="N181" s="416"/>
      <c r="O181" s="1030"/>
    </row>
    <row r="182" spans="1:18" ht="30">
      <c r="A182" s="244" t="s">
        <v>1233</v>
      </c>
      <c r="B182" s="1628" t="s">
        <v>1239</v>
      </c>
      <c r="C182" s="92" t="s">
        <v>32</v>
      </c>
      <c r="D182" s="416">
        <f t="shared" ref="D182:O182" si="69">(D183*D184*12)/1000</f>
        <v>0</v>
      </c>
      <c r="E182" s="479">
        <f t="shared" si="69"/>
        <v>1730.4</v>
      </c>
      <c r="F182" s="479">
        <f t="shared" si="69"/>
        <v>0</v>
      </c>
      <c r="G182" s="479">
        <f t="shared" si="69"/>
        <v>1834.2239999999999</v>
      </c>
      <c r="H182" s="479">
        <f>(H183*H184*6)/1000</f>
        <v>917.11199999999997</v>
      </c>
      <c r="I182" s="479">
        <f t="shared" ref="I182" si="70">(I183*I184*12)/1000</f>
        <v>1834.2239999999999</v>
      </c>
      <c r="J182" s="479">
        <f t="shared" si="69"/>
        <v>1916.7640800000001</v>
      </c>
      <c r="K182" s="479">
        <f t="shared" si="69"/>
        <v>1999.1849354399997</v>
      </c>
      <c r="L182" s="479">
        <f t="shared" si="69"/>
        <v>2085.1498876639198</v>
      </c>
      <c r="M182" s="2646">
        <f t="shared" si="69"/>
        <v>1916.7640800000001</v>
      </c>
      <c r="N182" s="416">
        <f t="shared" si="69"/>
        <v>0</v>
      </c>
      <c r="O182" s="1030">
        <f t="shared" si="69"/>
        <v>0</v>
      </c>
    </row>
    <row r="183" spans="1:18" ht="30">
      <c r="A183" s="244"/>
      <c r="B183" s="34" t="s">
        <v>626</v>
      </c>
      <c r="C183" s="92" t="s">
        <v>407</v>
      </c>
      <c r="D183" s="416"/>
      <c r="E183" s="479">
        <v>14</v>
      </c>
      <c r="F183" s="479"/>
      <c r="G183" s="479">
        <v>14</v>
      </c>
      <c r="H183" s="479">
        <v>14</v>
      </c>
      <c r="I183" s="479">
        <v>14</v>
      </c>
      <c r="J183" s="479">
        <v>14</v>
      </c>
      <c r="K183" s="479">
        <v>14</v>
      </c>
      <c r="L183" s="1667">
        <v>14</v>
      </c>
      <c r="M183" s="1604">
        <f>J183</f>
        <v>14</v>
      </c>
      <c r="N183" s="416"/>
      <c r="O183" s="1030"/>
    </row>
    <row r="184" spans="1:18" ht="30">
      <c r="A184" s="244"/>
      <c r="B184" s="34" t="s">
        <v>290</v>
      </c>
      <c r="C184" s="92" t="s">
        <v>291</v>
      </c>
      <c r="D184" s="416"/>
      <c r="E184" s="479">
        <v>10300</v>
      </c>
      <c r="F184" s="479"/>
      <c r="G184" s="479">
        <f>E184*1.06</f>
        <v>10918</v>
      </c>
      <c r="H184" s="479">
        <v>10918</v>
      </c>
      <c r="I184" s="479">
        <v>10918</v>
      </c>
      <c r="J184" s="479">
        <f>G184*1.045</f>
        <v>11409.31</v>
      </c>
      <c r="K184" s="479">
        <f>J184*1.043</f>
        <v>11899.910329999999</v>
      </c>
      <c r="L184" s="1667">
        <f>K184*1.043</f>
        <v>12411.606474189997</v>
      </c>
      <c r="M184" s="1604">
        <f>J184</f>
        <v>11409.31</v>
      </c>
      <c r="N184" s="416"/>
      <c r="O184" s="1030"/>
    </row>
    <row r="185" spans="1:18">
      <c r="A185" s="244" t="s">
        <v>1237</v>
      </c>
      <c r="B185" s="1628" t="s">
        <v>1235</v>
      </c>
      <c r="C185" s="92" t="s">
        <v>32</v>
      </c>
      <c r="D185" s="416">
        <f t="shared" ref="D185:O185" si="71">(D186*D187*12)/1000</f>
        <v>0</v>
      </c>
      <c r="E185" s="479">
        <f t="shared" si="71"/>
        <v>1295.424</v>
      </c>
      <c r="F185" s="479">
        <f t="shared" si="71"/>
        <v>0</v>
      </c>
      <c r="G185" s="479">
        <f t="shared" si="71"/>
        <v>1373.1494400000001</v>
      </c>
      <c r="H185" s="479">
        <f>(H186*H187*6)/1000</f>
        <v>686.54399999999998</v>
      </c>
      <c r="I185" s="479">
        <f t="shared" ref="I185" si="72">(I186*I187*12)/1000</f>
        <v>1373.088</v>
      </c>
      <c r="J185" s="479">
        <f t="shared" si="71"/>
        <v>1434.9411648</v>
      </c>
      <c r="K185" s="479">
        <f t="shared" si="71"/>
        <v>1496.6436348863999</v>
      </c>
      <c r="L185" s="479">
        <f t="shared" si="71"/>
        <v>1560.9993111865151</v>
      </c>
      <c r="M185" s="2646">
        <f t="shared" si="71"/>
        <v>1434.9411648</v>
      </c>
      <c r="N185" s="416">
        <f t="shared" si="71"/>
        <v>0</v>
      </c>
      <c r="O185" s="1030">
        <f t="shared" si="71"/>
        <v>0</v>
      </c>
    </row>
    <row r="186" spans="1:18" ht="30">
      <c r="A186" s="244"/>
      <c r="B186" s="34" t="s">
        <v>626</v>
      </c>
      <c r="C186" s="92" t="s">
        <v>407</v>
      </c>
      <c r="D186" s="416"/>
      <c r="E186" s="479">
        <v>8</v>
      </c>
      <c r="F186" s="479"/>
      <c r="G186" s="479">
        <v>8</v>
      </c>
      <c r="H186" s="479">
        <v>8</v>
      </c>
      <c r="I186" s="479">
        <v>8</v>
      </c>
      <c r="J186" s="479">
        <v>8</v>
      </c>
      <c r="K186" s="479">
        <v>8</v>
      </c>
      <c r="L186" s="1667">
        <v>8</v>
      </c>
      <c r="M186" s="1604">
        <f>J186</f>
        <v>8</v>
      </c>
      <c r="N186" s="416"/>
      <c r="O186" s="1030"/>
    </row>
    <row r="187" spans="1:18" ht="30">
      <c r="A187" s="244"/>
      <c r="B187" s="34" t="s">
        <v>290</v>
      </c>
      <c r="C187" s="92" t="s">
        <v>291</v>
      </c>
      <c r="D187" s="416"/>
      <c r="E187" s="479">
        <v>13494</v>
      </c>
      <c r="F187" s="479"/>
      <c r="G187" s="479">
        <f>E187*1.06</f>
        <v>14303.640000000001</v>
      </c>
      <c r="H187" s="479">
        <v>14303</v>
      </c>
      <c r="I187" s="479">
        <v>14303</v>
      </c>
      <c r="J187" s="479">
        <f>G187*1.045</f>
        <v>14947.3038</v>
      </c>
      <c r="K187" s="479">
        <f>J187*1.043</f>
        <v>15590.037863399999</v>
      </c>
      <c r="L187" s="1667">
        <f>K187*1.043</f>
        <v>16260.409491526198</v>
      </c>
      <c r="M187" s="1604">
        <f>J187</f>
        <v>14947.3038</v>
      </c>
      <c r="N187" s="416"/>
      <c r="O187" s="1030"/>
    </row>
    <row r="188" spans="1:18">
      <c r="A188" s="244" t="s">
        <v>1248</v>
      </c>
      <c r="B188" s="1628" t="s">
        <v>1247</v>
      </c>
      <c r="C188" s="92" t="s">
        <v>32</v>
      </c>
      <c r="D188" s="416">
        <f t="shared" ref="D188:O188" si="73">(D189*D190*12)/1000</f>
        <v>0</v>
      </c>
      <c r="E188" s="479">
        <f t="shared" si="73"/>
        <v>9029.3760000000002</v>
      </c>
      <c r="F188" s="479">
        <f t="shared" si="73"/>
        <v>0</v>
      </c>
      <c r="G188" s="479">
        <f t="shared" si="73"/>
        <v>9571.1385600000012</v>
      </c>
      <c r="H188" s="479">
        <f>(H189*H190*6)/1000</f>
        <v>5745.4080000000004</v>
      </c>
      <c r="I188" s="479">
        <f t="shared" ref="I188" si="74">(I189*I190*12)/1000</f>
        <v>11490.816000000001</v>
      </c>
      <c r="J188" s="479">
        <f t="shared" si="73"/>
        <v>10001.8397952</v>
      </c>
      <c r="K188" s="479">
        <f t="shared" si="73"/>
        <v>10431.918906393599</v>
      </c>
      <c r="L188" s="479">
        <f t="shared" si="73"/>
        <v>10880.491419368524</v>
      </c>
      <c r="M188" s="2646">
        <f t="shared" si="73"/>
        <v>10001.8397952</v>
      </c>
      <c r="N188" s="416">
        <f t="shared" si="73"/>
        <v>0</v>
      </c>
      <c r="O188" s="1030">
        <f t="shared" si="73"/>
        <v>0</v>
      </c>
    </row>
    <row r="189" spans="1:18" ht="30">
      <c r="A189" s="244"/>
      <c r="B189" s="34" t="s">
        <v>626</v>
      </c>
      <c r="C189" s="92" t="s">
        <v>407</v>
      </c>
      <c r="D189" s="416"/>
      <c r="E189" s="479">
        <v>32</v>
      </c>
      <c r="F189" s="479"/>
      <c r="G189" s="479">
        <v>32</v>
      </c>
      <c r="H189" s="479">
        <v>32</v>
      </c>
      <c r="I189" s="479">
        <v>32</v>
      </c>
      <c r="J189" s="479">
        <v>32</v>
      </c>
      <c r="K189" s="479">
        <v>32</v>
      </c>
      <c r="L189" s="1667">
        <v>32</v>
      </c>
      <c r="M189" s="1604">
        <f>J189</f>
        <v>32</v>
      </c>
      <c r="N189" s="416"/>
      <c r="O189" s="1030"/>
    </row>
    <row r="190" spans="1:18" ht="30.75" thickBot="1">
      <c r="A190" s="244"/>
      <c r="B190" s="34" t="s">
        <v>290</v>
      </c>
      <c r="C190" s="92" t="s">
        <v>291</v>
      </c>
      <c r="D190" s="416"/>
      <c r="E190" s="479">
        <v>23514</v>
      </c>
      <c r="F190" s="479"/>
      <c r="G190" s="479">
        <f>E190*1.06</f>
        <v>24924.84</v>
      </c>
      <c r="H190" s="479">
        <v>29924</v>
      </c>
      <c r="I190" s="479">
        <v>29924</v>
      </c>
      <c r="J190" s="416">
        <f>G190*1.045</f>
        <v>26046.4578</v>
      </c>
      <c r="K190" s="416">
        <f>J190*1.043</f>
        <v>27166.455485399998</v>
      </c>
      <c r="L190" s="415">
        <f>K190*1.043</f>
        <v>28334.613071272197</v>
      </c>
      <c r="M190" s="1604">
        <f>J190</f>
        <v>26046.4578</v>
      </c>
      <c r="N190" s="416"/>
      <c r="O190" s="1030"/>
    </row>
    <row r="191" spans="1:18" ht="15.75" thickBot="1">
      <c r="A191" s="254"/>
      <c r="B191" s="261" t="s">
        <v>458</v>
      </c>
      <c r="C191" s="250" t="s">
        <v>32</v>
      </c>
      <c r="D191" s="482">
        <f t="shared" ref="D191:O191" si="75">D155</f>
        <v>58245.100000000006</v>
      </c>
      <c r="E191" s="482">
        <f t="shared" si="75"/>
        <v>114654.86963512802</v>
      </c>
      <c r="F191" s="482">
        <f t="shared" si="75"/>
        <v>121574.42284090909</v>
      </c>
      <c r="G191" s="482">
        <f t="shared" si="75"/>
        <v>124180.611084</v>
      </c>
      <c r="H191" s="482">
        <f t="shared" si="75"/>
        <v>57211.78944</v>
      </c>
      <c r="I191" s="482">
        <f t="shared" ref="I191" si="76">I155</f>
        <v>119750.592</v>
      </c>
      <c r="J191" s="482">
        <f t="shared" si="75"/>
        <v>114655.77275952</v>
      </c>
      <c r="K191" s="482">
        <f t="shared" si="75"/>
        <v>117648.95978337935</v>
      </c>
      <c r="L191" s="482">
        <f t="shared" si="75"/>
        <v>122707.86505406466</v>
      </c>
      <c r="M191" s="482">
        <f>M155</f>
        <v>114655.77275952</v>
      </c>
      <c r="N191" s="482">
        <f t="shared" si="75"/>
        <v>0</v>
      </c>
      <c r="O191" s="482">
        <f t="shared" si="75"/>
        <v>0</v>
      </c>
      <c r="Q191" s="423"/>
      <c r="R191" s="423"/>
    </row>
    <row r="192" spans="1:18" ht="15.75" thickBot="1">
      <c r="A192" s="262"/>
      <c r="B192" s="252" t="s">
        <v>376</v>
      </c>
      <c r="C192" s="253" t="s">
        <v>280</v>
      </c>
      <c r="D192" s="487">
        <v>30.2</v>
      </c>
      <c r="E192" s="487">
        <v>30.2</v>
      </c>
      <c r="F192" s="488">
        <v>30.2</v>
      </c>
      <c r="G192" s="488">
        <v>30.2</v>
      </c>
      <c r="H192" s="488">
        <v>30.2</v>
      </c>
      <c r="I192" s="488">
        <v>30.2</v>
      </c>
      <c r="J192" s="487">
        <v>30.2</v>
      </c>
      <c r="K192" s="487">
        <v>30.2</v>
      </c>
      <c r="L192" s="1593">
        <v>30.2</v>
      </c>
      <c r="M192" s="1612">
        <v>0.30199999999999999</v>
      </c>
      <c r="N192" s="487"/>
      <c r="O192" s="1613"/>
    </row>
    <row r="193" spans="1:17" ht="15.75" thickBot="1">
      <c r="A193" s="254"/>
      <c r="B193" s="249" t="s">
        <v>459</v>
      </c>
      <c r="C193" s="250" t="s">
        <v>11</v>
      </c>
      <c r="D193" s="482">
        <v>17590</v>
      </c>
      <c r="E193" s="482">
        <f t="shared" ref="E193:L193" si="77">E191*E192/100</f>
        <v>34625.770629808663</v>
      </c>
      <c r="F193" s="482">
        <f t="shared" si="77"/>
        <v>36715.475697954542</v>
      </c>
      <c r="G193" s="482">
        <f t="shared" si="77"/>
        <v>37502.544547368001</v>
      </c>
      <c r="H193" s="482">
        <f t="shared" si="77"/>
        <v>17277.960410879998</v>
      </c>
      <c r="I193" s="482">
        <f t="shared" si="77"/>
        <v>36164.678783999996</v>
      </c>
      <c r="J193" s="482">
        <f t="shared" si="77"/>
        <v>34626.04337337504</v>
      </c>
      <c r="K193" s="482">
        <f t="shared" si="77"/>
        <v>35529.985854580562</v>
      </c>
      <c r="L193" s="1589">
        <f t="shared" si="77"/>
        <v>37057.775246327532</v>
      </c>
      <c r="M193" s="493">
        <f t="shared" ref="M193:O193" si="78">M191*M192</f>
        <v>34626.04337337504</v>
      </c>
      <c r="N193" s="482">
        <f t="shared" si="78"/>
        <v>0</v>
      </c>
      <c r="O193" s="1606">
        <f t="shared" si="78"/>
        <v>0</v>
      </c>
      <c r="Q193" s="423"/>
    </row>
    <row r="194" spans="1:17" ht="15.75" thickBot="1">
      <c r="A194" s="263" t="s">
        <v>148</v>
      </c>
      <c r="B194" s="264" t="s">
        <v>450</v>
      </c>
      <c r="C194" s="265"/>
      <c r="D194" s="489"/>
      <c r="E194" s="489"/>
      <c r="F194" s="489"/>
      <c r="G194" s="489"/>
      <c r="H194" s="489"/>
      <c r="I194" s="489"/>
      <c r="J194" s="489"/>
      <c r="K194" s="489"/>
      <c r="L194" s="1594"/>
      <c r="M194" s="1614"/>
      <c r="N194" s="489"/>
      <c r="O194" s="1615"/>
    </row>
    <row r="195" spans="1:17" hidden="1">
      <c r="A195" s="266" t="s">
        <v>159</v>
      </c>
      <c r="B195" s="267" t="s">
        <v>455</v>
      </c>
      <c r="C195" s="268"/>
      <c r="D195" s="490"/>
      <c r="E195" s="490"/>
      <c r="F195" s="490"/>
      <c r="G195" s="490"/>
      <c r="H195" s="490"/>
      <c r="I195" s="490"/>
      <c r="J195" s="490"/>
      <c r="K195" s="490"/>
      <c r="L195" s="1595"/>
      <c r="M195" s="1616"/>
      <c r="N195" s="490"/>
      <c r="O195" s="1617"/>
    </row>
    <row r="196" spans="1:17" hidden="1">
      <c r="A196" s="266"/>
      <c r="B196" s="267" t="s">
        <v>1218</v>
      </c>
      <c r="C196" s="268"/>
      <c r="D196" s="1645">
        <f>D217</f>
        <v>4817.4865199999995</v>
      </c>
      <c r="E196" s="1645">
        <f t="shared" ref="E196:L196" si="79">E217</f>
        <v>5264.6983200000004</v>
      </c>
      <c r="F196" s="1645">
        <f t="shared" si="79"/>
        <v>5581.6991999999991</v>
      </c>
      <c r="G196" s="1645">
        <f t="shared" si="79"/>
        <v>5692.68</v>
      </c>
      <c r="H196" s="1645">
        <v>2594.4</v>
      </c>
      <c r="I196" s="1645">
        <v>5725.1</v>
      </c>
      <c r="J196" s="1645">
        <f t="shared" si="79"/>
        <v>5953.8779999999997</v>
      </c>
      <c r="K196" s="1645">
        <f t="shared" si="79"/>
        <v>6209.8947539999999</v>
      </c>
      <c r="L196" s="1645">
        <f t="shared" si="79"/>
        <v>6476.9202284219982</v>
      </c>
      <c r="M196" s="1645">
        <f>J196</f>
        <v>5953.8779999999997</v>
      </c>
      <c r="N196" s="1645">
        <f>N221</f>
        <v>0</v>
      </c>
      <c r="O196" s="1645">
        <f>O221</f>
        <v>0</v>
      </c>
    </row>
    <row r="197" spans="1:17" hidden="1">
      <c r="A197" s="1639"/>
      <c r="B197" s="1644" t="s">
        <v>1236</v>
      </c>
      <c r="C197" s="1640"/>
      <c r="D197" s="486"/>
      <c r="E197" s="486"/>
      <c r="F197" s="486"/>
      <c r="G197" s="486"/>
      <c r="H197" s="486"/>
      <c r="I197" s="486"/>
      <c r="J197" s="486"/>
      <c r="K197" s="486"/>
      <c r="L197" s="1641"/>
      <c r="M197" s="2664">
        <f t="shared" ref="M197:M223" si="80">J197</f>
        <v>0</v>
      </c>
      <c r="N197" s="486"/>
      <c r="O197" s="1643"/>
    </row>
    <row r="198" spans="1:17" hidden="1">
      <c r="A198" s="244" t="s">
        <v>463</v>
      </c>
      <c r="B198" s="1625" t="s">
        <v>1247</v>
      </c>
      <c r="C198" s="92" t="s">
        <v>32</v>
      </c>
      <c r="D198" s="416">
        <f t="shared" ref="D198:L198" si="81">(D199*D200*12)/1000</f>
        <v>0</v>
      </c>
      <c r="E198" s="479">
        <f t="shared" si="81"/>
        <v>1407.8579999999999</v>
      </c>
      <c r="F198" s="479">
        <f>(F199*F200*12)/1000</f>
        <v>0</v>
      </c>
      <c r="G198" s="479">
        <f t="shared" si="81"/>
        <v>1534.56522</v>
      </c>
      <c r="H198" s="479">
        <f>(H199*H200*6)/1000</f>
        <v>767.28269999999998</v>
      </c>
      <c r="I198" s="479">
        <f>(I199*I200*12)/1000</f>
        <v>1534.5654</v>
      </c>
      <c r="J198" s="479">
        <f t="shared" si="81"/>
        <v>1605.1552201200002</v>
      </c>
      <c r="K198" s="479">
        <f t="shared" si="81"/>
        <v>1674.17689458516</v>
      </c>
      <c r="L198" s="479">
        <f t="shared" si="81"/>
        <v>1746.1665010523218</v>
      </c>
      <c r="M198" s="2664">
        <f t="shared" si="80"/>
        <v>1605.1552201200002</v>
      </c>
      <c r="N198" s="416">
        <f t="shared" ref="N198:O198" si="82">(N199*N200*12)/1000</f>
        <v>0</v>
      </c>
      <c r="O198" s="1030">
        <f t="shared" si="82"/>
        <v>0</v>
      </c>
    </row>
    <row r="199" spans="1:17" ht="18" hidden="1" customHeight="1">
      <c r="A199" s="244"/>
      <c r="B199" s="34" t="s">
        <v>457</v>
      </c>
      <c r="C199" s="92" t="s">
        <v>407</v>
      </c>
      <c r="D199" s="416"/>
      <c r="E199" s="479">
        <v>5</v>
      </c>
      <c r="F199" s="479"/>
      <c r="G199" s="479">
        <v>5</v>
      </c>
      <c r="H199" s="479">
        <v>5</v>
      </c>
      <c r="I199" s="479">
        <v>5</v>
      </c>
      <c r="J199" s="416">
        <v>5</v>
      </c>
      <c r="K199" s="416">
        <v>5</v>
      </c>
      <c r="L199" s="415">
        <v>5</v>
      </c>
      <c r="M199" s="2664">
        <f t="shared" si="80"/>
        <v>5</v>
      </c>
      <c r="N199" s="416"/>
      <c r="O199" s="1030"/>
    </row>
    <row r="200" spans="1:17" ht="30" hidden="1">
      <c r="A200" s="244"/>
      <c r="B200" s="34" t="s">
        <v>290</v>
      </c>
      <c r="C200" s="92" t="s">
        <v>291</v>
      </c>
      <c r="D200" s="416"/>
      <c r="E200" s="479">
        <v>23464.3</v>
      </c>
      <c r="F200" s="479"/>
      <c r="G200" s="479">
        <f>E200*1.09</f>
        <v>25576.087</v>
      </c>
      <c r="H200" s="479">
        <v>25576.09</v>
      </c>
      <c r="I200" s="479">
        <v>25576.09</v>
      </c>
      <c r="J200" s="416">
        <f>G200*1.046</f>
        <v>26752.587002</v>
      </c>
      <c r="K200" s="416">
        <f>J200*1.043</f>
        <v>27902.948243085997</v>
      </c>
      <c r="L200" s="415">
        <f>K200*1.043</f>
        <v>29102.775017538694</v>
      </c>
      <c r="M200" s="2664">
        <f t="shared" si="80"/>
        <v>26752.587002</v>
      </c>
      <c r="N200" s="416"/>
      <c r="O200" s="1030"/>
    </row>
    <row r="201" spans="1:17" hidden="1">
      <c r="A201" s="244" t="s">
        <v>465</v>
      </c>
      <c r="B201" s="1625" t="s">
        <v>1240</v>
      </c>
      <c r="C201" s="92" t="s">
        <v>32</v>
      </c>
      <c r="D201" s="416">
        <f t="shared" ref="D201:J201" si="83">(D202*D203*12)/1000</f>
        <v>0</v>
      </c>
      <c r="E201" s="479">
        <f t="shared" si="83"/>
        <v>531.07680000000005</v>
      </c>
      <c r="F201" s="479">
        <f t="shared" si="83"/>
        <v>0</v>
      </c>
      <c r="G201" s="479">
        <f t="shared" si="83"/>
        <v>574.62509760000012</v>
      </c>
      <c r="H201" s="479">
        <f>(H202*H203*6)/1000</f>
        <v>287.30399999999997</v>
      </c>
      <c r="I201" s="479">
        <f>(I202*I203*12)/1000</f>
        <v>574.60799999999995</v>
      </c>
      <c r="J201" s="416">
        <f t="shared" si="83"/>
        <v>600.82800205056014</v>
      </c>
      <c r="K201" s="416">
        <f t="shared" ref="K201:O201" si="84">(K202*K203*12)/1000</f>
        <v>626.66360613873417</v>
      </c>
      <c r="L201" s="415">
        <f t="shared" si="84"/>
        <v>653.61014120269977</v>
      </c>
      <c r="M201" s="2664">
        <f t="shared" si="80"/>
        <v>600.82800205056014</v>
      </c>
      <c r="N201" s="416">
        <f t="shared" si="84"/>
        <v>0</v>
      </c>
      <c r="O201" s="1030">
        <f t="shared" si="84"/>
        <v>0</v>
      </c>
    </row>
    <row r="202" spans="1:17" ht="16.5" hidden="1" customHeight="1">
      <c r="A202" s="244"/>
      <c r="B202" s="34" t="s">
        <v>457</v>
      </c>
      <c r="C202" s="92" t="s">
        <v>407</v>
      </c>
      <c r="D202" s="416"/>
      <c r="E202" s="479">
        <v>2</v>
      </c>
      <c r="F202" s="479"/>
      <c r="G202" s="479">
        <v>2</v>
      </c>
      <c r="H202" s="479">
        <v>2</v>
      </c>
      <c r="I202" s="479">
        <v>2</v>
      </c>
      <c r="J202" s="416">
        <v>2</v>
      </c>
      <c r="K202" s="416">
        <v>2</v>
      </c>
      <c r="L202" s="415">
        <v>2</v>
      </c>
      <c r="M202" s="2664">
        <f t="shared" si="80"/>
        <v>2</v>
      </c>
      <c r="N202" s="416"/>
      <c r="O202" s="1030"/>
    </row>
    <row r="203" spans="1:17" ht="30" hidden="1">
      <c r="A203" s="244"/>
      <c r="B203" s="34" t="s">
        <v>290</v>
      </c>
      <c r="C203" s="92" t="s">
        <v>291</v>
      </c>
      <c r="D203" s="416"/>
      <c r="E203" s="479">
        <v>22128.2</v>
      </c>
      <c r="F203" s="479"/>
      <c r="G203" s="479">
        <f>E203*1.082</f>
        <v>23942.712400000004</v>
      </c>
      <c r="H203" s="479">
        <v>23942</v>
      </c>
      <c r="I203" s="479">
        <v>23942</v>
      </c>
      <c r="J203" s="416">
        <f>G203*1.0456</f>
        <v>25034.500085440006</v>
      </c>
      <c r="K203" s="416">
        <f>J203*1.043</f>
        <v>26110.983589113923</v>
      </c>
      <c r="L203" s="415">
        <f>K203*1.043</f>
        <v>27233.755883445821</v>
      </c>
      <c r="M203" s="2664">
        <f t="shared" si="80"/>
        <v>25034.500085440006</v>
      </c>
      <c r="N203" s="416"/>
      <c r="O203" s="1030"/>
    </row>
    <row r="204" spans="1:17" ht="39" hidden="1">
      <c r="A204" s="244" t="s">
        <v>466</v>
      </c>
      <c r="B204" s="1666" t="s">
        <v>1241</v>
      </c>
      <c r="C204" s="92" t="s">
        <v>32</v>
      </c>
      <c r="D204" s="416">
        <f t="shared" ref="D204:O204" si="85">(D205*D206*12)/1000</f>
        <v>0</v>
      </c>
      <c r="E204" s="479">
        <f t="shared" si="85"/>
        <v>441.65039999999999</v>
      </c>
      <c r="F204" s="479">
        <f t="shared" si="85"/>
        <v>0</v>
      </c>
      <c r="G204" s="479">
        <f t="shared" si="85"/>
        <v>476.14329623999998</v>
      </c>
      <c r="H204" s="479">
        <f>(H205*H206*6)/1000</f>
        <v>237.96</v>
      </c>
      <c r="I204" s="479">
        <f>(I205*I206*12)/1000</f>
        <v>475.92</v>
      </c>
      <c r="J204" s="416">
        <f t="shared" si="85"/>
        <v>497.85543054854406</v>
      </c>
      <c r="K204" s="416">
        <f t="shared" si="85"/>
        <v>519.2632140621314</v>
      </c>
      <c r="L204" s="415">
        <f t="shared" si="85"/>
        <v>541.59153226680314</v>
      </c>
      <c r="M204" s="2664">
        <f t="shared" si="80"/>
        <v>497.85543054854406</v>
      </c>
      <c r="N204" s="416">
        <f t="shared" si="85"/>
        <v>0</v>
      </c>
      <c r="O204" s="1030">
        <f t="shared" si="85"/>
        <v>0</v>
      </c>
    </row>
    <row r="205" spans="1:17" ht="15" hidden="1" customHeight="1">
      <c r="A205" s="244"/>
      <c r="B205" s="34" t="s">
        <v>457</v>
      </c>
      <c r="C205" s="92" t="s">
        <v>407</v>
      </c>
      <c r="D205" s="416"/>
      <c r="E205" s="479">
        <v>2</v>
      </c>
      <c r="F205" s="479"/>
      <c r="G205" s="479">
        <v>2</v>
      </c>
      <c r="H205" s="479">
        <v>2</v>
      </c>
      <c r="I205" s="479">
        <v>2</v>
      </c>
      <c r="J205" s="416">
        <v>2</v>
      </c>
      <c r="K205" s="416">
        <v>2</v>
      </c>
      <c r="L205" s="415">
        <v>2</v>
      </c>
      <c r="M205" s="2664">
        <f t="shared" si="80"/>
        <v>2</v>
      </c>
      <c r="N205" s="416"/>
      <c r="O205" s="1030"/>
    </row>
    <row r="206" spans="1:17" ht="30" hidden="1">
      <c r="A206" s="244"/>
      <c r="B206" s="34" t="s">
        <v>290</v>
      </c>
      <c r="C206" s="92" t="s">
        <v>291</v>
      </c>
      <c r="D206" s="416"/>
      <c r="E206" s="479">
        <v>18402.099999999999</v>
      </c>
      <c r="F206" s="479"/>
      <c r="G206" s="479">
        <f>E206*1.0781</f>
        <v>19839.30401</v>
      </c>
      <c r="H206" s="479">
        <v>19830</v>
      </c>
      <c r="I206" s="479">
        <v>19830</v>
      </c>
      <c r="J206" s="479">
        <f>G206*1.0456</f>
        <v>20743.976272856002</v>
      </c>
      <c r="K206" s="479">
        <f>J206*1.043</f>
        <v>21635.967252588809</v>
      </c>
      <c r="L206" s="479">
        <f>K206*1.043</f>
        <v>22566.313844450127</v>
      </c>
      <c r="M206" s="2664">
        <f t="shared" si="80"/>
        <v>20743.976272856002</v>
      </c>
      <c r="N206" s="416"/>
      <c r="O206" s="1030"/>
    </row>
    <row r="207" spans="1:17" ht="26.25" hidden="1">
      <c r="A207" s="244" t="s">
        <v>1243</v>
      </c>
      <c r="B207" s="1666" t="s">
        <v>1242</v>
      </c>
      <c r="C207" s="92" t="s">
        <v>32</v>
      </c>
      <c r="D207" s="416">
        <f>(D208*D209*12)/1000</f>
        <v>0</v>
      </c>
      <c r="E207" s="479">
        <f>(E208*E209*12)/1000</f>
        <v>914.52720000000011</v>
      </c>
      <c r="F207" s="479">
        <f>(F208*F209*12)/1000</f>
        <v>0</v>
      </c>
      <c r="G207" s="416">
        <f>(G208*G209*12)/1000</f>
        <v>980.37315840000019</v>
      </c>
      <c r="H207" s="416">
        <f>(H208*H209*6)/1000</f>
        <v>580.02</v>
      </c>
      <c r="I207" s="416">
        <f>(I208*I209*12)/1000</f>
        <v>1160.04</v>
      </c>
      <c r="J207" s="416">
        <f>(J208*J209*12)/1000</f>
        <v>1033.8034955328003</v>
      </c>
      <c r="K207" s="416">
        <f>J207*1.043</f>
        <v>1078.2570458407106</v>
      </c>
      <c r="L207" s="415">
        <f>K207*1.043</f>
        <v>1124.6220988118612</v>
      </c>
      <c r="M207" s="2664">
        <f t="shared" si="80"/>
        <v>1033.8034955328003</v>
      </c>
      <c r="N207" s="416">
        <f>(N208*N209*12)/1000</f>
        <v>0</v>
      </c>
      <c r="O207" s="1030">
        <f>(O208*O209*12)/1000</f>
        <v>0</v>
      </c>
    </row>
    <row r="208" spans="1:17" ht="19.5" hidden="1" customHeight="1">
      <c r="A208" s="244"/>
      <c r="B208" s="34" t="s">
        <v>457</v>
      </c>
      <c r="C208" s="92" t="s">
        <v>407</v>
      </c>
      <c r="D208" s="416"/>
      <c r="E208" s="479">
        <v>5</v>
      </c>
      <c r="F208" s="479"/>
      <c r="G208" s="479">
        <v>5</v>
      </c>
      <c r="H208" s="479">
        <v>5</v>
      </c>
      <c r="I208" s="479">
        <v>5</v>
      </c>
      <c r="J208" s="416">
        <v>5</v>
      </c>
      <c r="K208" s="416">
        <v>5</v>
      </c>
      <c r="L208" s="415">
        <v>5</v>
      </c>
      <c r="M208" s="2664">
        <f t="shared" si="80"/>
        <v>5</v>
      </c>
      <c r="N208" s="416"/>
      <c r="O208" s="1030"/>
    </row>
    <row r="209" spans="1:17" ht="30" hidden="1">
      <c r="A209" s="244"/>
      <c r="B209" s="34" t="s">
        <v>290</v>
      </c>
      <c r="C209" s="92" t="s">
        <v>291</v>
      </c>
      <c r="D209" s="416"/>
      <c r="E209" s="479">
        <v>15242.12</v>
      </c>
      <c r="F209" s="479"/>
      <c r="G209" s="479">
        <f>E209*1.072</f>
        <v>16339.552640000002</v>
      </c>
      <c r="H209" s="479">
        <v>19334</v>
      </c>
      <c r="I209" s="479">
        <v>19334</v>
      </c>
      <c r="J209" s="479">
        <f>G209*1.0545</f>
        <v>17230.058258880003</v>
      </c>
      <c r="K209" s="479">
        <f>J209*1.043</f>
        <v>17970.950764011843</v>
      </c>
      <c r="L209" s="479">
        <f>K209*1.043</f>
        <v>18743.701646864352</v>
      </c>
      <c r="M209" s="2664">
        <f t="shared" si="80"/>
        <v>17230.058258880003</v>
      </c>
      <c r="N209" s="416"/>
      <c r="O209" s="1030"/>
    </row>
    <row r="210" spans="1:17" hidden="1">
      <c r="A210" s="244" t="s">
        <v>1249</v>
      </c>
      <c r="B210" s="1666" t="s">
        <v>1247</v>
      </c>
      <c r="C210" s="92" t="s">
        <v>32</v>
      </c>
      <c r="D210" s="416">
        <f>(D211*D212*12)/1000</f>
        <v>0</v>
      </c>
      <c r="E210" s="479">
        <f>(E211*E212*12)/1000</f>
        <v>1970.7416400000002</v>
      </c>
      <c r="F210" s="479">
        <f>(F211*F212*12)/1000</f>
        <v>0</v>
      </c>
      <c r="G210" s="416">
        <f>(G211*G212*12)/1000+3.2</f>
        <v>2111.8935547999999</v>
      </c>
      <c r="H210" s="416">
        <f>(H211*H212*6)/1000</f>
        <v>1054.2</v>
      </c>
      <c r="I210" s="416">
        <f>(I211*I212*12)/1000</f>
        <v>2108.4</v>
      </c>
      <c r="J210" s="416">
        <f>(J211*J212*12)/1000</f>
        <v>2223.6173535365997</v>
      </c>
      <c r="K210" s="416">
        <f>J210*1.043</f>
        <v>2319.2328997386735</v>
      </c>
      <c r="L210" s="415">
        <f>K210*1.043</f>
        <v>2418.9599144274362</v>
      </c>
      <c r="M210" s="2664">
        <f t="shared" si="80"/>
        <v>2223.6173535365997</v>
      </c>
      <c r="N210" s="416">
        <f>(N211*N212*12)/1000</f>
        <v>0</v>
      </c>
      <c r="O210" s="1030">
        <f>(O211*O212*12)/1000</f>
        <v>0</v>
      </c>
    </row>
    <row r="211" spans="1:17" ht="16.5" hidden="1" customHeight="1">
      <c r="A211" s="244"/>
      <c r="B211" s="34" t="s">
        <v>457</v>
      </c>
      <c r="C211" s="92" t="s">
        <v>407</v>
      </c>
      <c r="D211" s="416"/>
      <c r="E211" s="479">
        <v>7</v>
      </c>
      <c r="F211" s="479"/>
      <c r="G211" s="479">
        <v>7</v>
      </c>
      <c r="H211" s="479">
        <v>7</v>
      </c>
      <c r="I211" s="479">
        <v>7</v>
      </c>
      <c r="J211" s="416">
        <v>7</v>
      </c>
      <c r="K211" s="416">
        <v>7</v>
      </c>
      <c r="L211" s="415">
        <v>7</v>
      </c>
      <c r="M211" s="2664">
        <f t="shared" si="80"/>
        <v>7</v>
      </c>
      <c r="N211" s="416"/>
      <c r="O211" s="1030"/>
    </row>
    <row r="212" spans="1:17" ht="30" hidden="1">
      <c r="A212" s="244"/>
      <c r="B212" s="34" t="s">
        <v>290</v>
      </c>
      <c r="C212" s="92" t="s">
        <v>291</v>
      </c>
      <c r="D212" s="416"/>
      <c r="E212" s="479">
        <v>23461.21</v>
      </c>
      <c r="F212" s="479"/>
      <c r="G212" s="479">
        <f>E212*1.07</f>
        <v>25103.494699999999</v>
      </c>
      <c r="H212" s="479">
        <v>25100</v>
      </c>
      <c r="I212" s="479">
        <v>25100</v>
      </c>
      <c r="J212" s="479">
        <f>G212*1.0545</f>
        <v>26471.635161149999</v>
      </c>
      <c r="K212" s="479">
        <f>J212*1.043</f>
        <v>27609.915473079447</v>
      </c>
      <c r="L212" s="479">
        <f>K212*1.043</f>
        <v>28797.14183842186</v>
      </c>
      <c r="M212" s="2664">
        <f t="shared" si="80"/>
        <v>26471.635161149999</v>
      </c>
      <c r="N212" s="416"/>
      <c r="O212" s="1030"/>
    </row>
    <row r="213" spans="1:17" ht="19.5" hidden="1" customHeight="1">
      <c r="A213" s="244"/>
      <c r="B213" s="34"/>
      <c r="C213" s="92"/>
      <c r="D213" s="416"/>
      <c r="E213" s="479">
        <f>E198+E201+E204+E207+E210</f>
        <v>5265.8540400000002</v>
      </c>
      <c r="F213" s="472">
        <f t="shared" ref="F213:L213" si="86">F198+F201+F204+F207+F210</f>
        <v>0</v>
      </c>
      <c r="G213" s="472">
        <f t="shared" si="86"/>
        <v>5677.6003270399997</v>
      </c>
      <c r="H213" s="472"/>
      <c r="I213" s="472"/>
      <c r="J213" s="472">
        <f t="shared" si="86"/>
        <v>5961.2595017885042</v>
      </c>
      <c r="K213" s="472">
        <f t="shared" si="86"/>
        <v>6217.59366036541</v>
      </c>
      <c r="L213" s="472">
        <f t="shared" si="86"/>
        <v>6484.9501877611219</v>
      </c>
      <c r="M213" s="2664">
        <f t="shared" si="80"/>
        <v>5961.2595017885042</v>
      </c>
      <c r="N213" s="416"/>
      <c r="O213" s="1030"/>
    </row>
    <row r="214" spans="1:17" hidden="1">
      <c r="A214" s="244"/>
      <c r="B214" s="34"/>
      <c r="C214" s="92"/>
      <c r="D214" s="416"/>
      <c r="E214" s="479">
        <f>E199+E202+E205+E208+E211</f>
        <v>21</v>
      </c>
      <c r="F214" s="472">
        <f t="shared" ref="F214:L214" si="87">F199+F202+F205+F208+F211</f>
        <v>0</v>
      </c>
      <c r="G214" s="472">
        <f t="shared" si="87"/>
        <v>21</v>
      </c>
      <c r="H214" s="472"/>
      <c r="I214" s="472"/>
      <c r="J214" s="472">
        <f t="shared" si="87"/>
        <v>21</v>
      </c>
      <c r="K214" s="472">
        <f t="shared" si="87"/>
        <v>21</v>
      </c>
      <c r="L214" s="472">
        <f t="shared" si="87"/>
        <v>21</v>
      </c>
      <c r="M214" s="2664">
        <f t="shared" si="80"/>
        <v>21</v>
      </c>
      <c r="N214" s="416"/>
      <c r="O214" s="1030"/>
    </row>
    <row r="215" spans="1:17" hidden="1">
      <c r="A215" s="244"/>
      <c r="B215" s="34"/>
      <c r="C215" s="92"/>
      <c r="D215" s="416"/>
      <c r="E215" s="479">
        <f>E213/E214/12*1000-5</f>
        <v>20891.246190476191</v>
      </c>
      <c r="F215" s="479"/>
      <c r="G215" s="472">
        <f>G213/G214/12*1000+60</f>
        <v>22590.160027936508</v>
      </c>
      <c r="H215" s="472"/>
      <c r="I215" s="472"/>
      <c r="J215" s="472">
        <f>J213/J214/12*1000+2</f>
        <v>23657.791673763903</v>
      </c>
      <c r="K215" s="472">
        <f>K213/K214/12*1000+2+0.44</f>
        <v>24675.430715735751</v>
      </c>
      <c r="L215" s="472">
        <f>L213/L214/12*1000+2.5</f>
        <v>25736.429316512389</v>
      </c>
      <c r="M215" s="2664">
        <f t="shared" si="80"/>
        <v>23657.791673763903</v>
      </c>
      <c r="N215" s="416"/>
      <c r="O215" s="1030"/>
    </row>
    <row r="216" spans="1:17" ht="15.75" hidden="1" thickBot="1">
      <c r="A216" s="246"/>
      <c r="B216" s="247"/>
      <c r="C216" s="93"/>
      <c r="D216" s="427"/>
      <c r="E216" s="480"/>
      <c r="F216" s="480"/>
      <c r="G216" s="480"/>
      <c r="H216" s="480"/>
      <c r="I216" s="480"/>
      <c r="J216" s="427"/>
      <c r="K216" s="427"/>
      <c r="L216" s="460"/>
      <c r="M216" s="2664">
        <f t="shared" si="80"/>
        <v>0</v>
      </c>
      <c r="N216" s="427"/>
      <c r="O216" s="1032"/>
    </row>
    <row r="217" spans="1:17" ht="15.75" hidden="1" thickBot="1">
      <c r="A217" s="1646" t="s">
        <v>1244</v>
      </c>
      <c r="B217" s="1647"/>
      <c r="C217" s="1648" t="s">
        <v>32</v>
      </c>
      <c r="D217" s="1649">
        <f>(D219*D220*12)/1000</f>
        <v>4817.4865199999995</v>
      </c>
      <c r="E217" s="1650">
        <f t="shared" ref="E217:J217" si="88">(E219*E220*12)/1000</f>
        <v>5264.6983200000004</v>
      </c>
      <c r="F217" s="1650">
        <f t="shared" si="88"/>
        <v>5581.6991999999991</v>
      </c>
      <c r="G217" s="1650">
        <f t="shared" si="88"/>
        <v>5692.68</v>
      </c>
      <c r="H217" s="1650">
        <f>(H219*H220*6)/1000</f>
        <v>2894.3964000000005</v>
      </c>
      <c r="I217" s="1650">
        <f>(I219*I220*12)/1000</f>
        <v>5725.0998000000009</v>
      </c>
      <c r="J217" s="1649">
        <f t="shared" si="88"/>
        <v>5953.8779999999997</v>
      </c>
      <c r="K217" s="1649">
        <f t="shared" ref="K217:O217" si="89">(K219*K220*12)/1000</f>
        <v>6209.8947539999999</v>
      </c>
      <c r="L217" s="1651">
        <f t="shared" si="89"/>
        <v>6476.9202284219982</v>
      </c>
      <c r="M217" s="2664">
        <f t="shared" si="80"/>
        <v>5953.8779999999997</v>
      </c>
      <c r="N217" s="1649">
        <f t="shared" si="89"/>
        <v>0</v>
      </c>
      <c r="O217" s="1652">
        <f t="shared" si="89"/>
        <v>0</v>
      </c>
    </row>
    <row r="218" spans="1:17" ht="15.75" hidden="1" thickBot="1">
      <c r="A218" s="1646" t="s">
        <v>1244</v>
      </c>
      <c r="B218" s="1647"/>
      <c r="C218" s="1648"/>
      <c r="D218" s="1649"/>
      <c r="E218" s="1650"/>
      <c r="F218" s="1650"/>
      <c r="G218" s="1650"/>
      <c r="H218" s="1650"/>
      <c r="I218" s="1650"/>
      <c r="J218" s="1649"/>
      <c r="K218" s="1649"/>
      <c r="L218" s="1651"/>
      <c r="M218" s="2664">
        <f t="shared" si="80"/>
        <v>0</v>
      </c>
      <c r="N218" s="1649"/>
      <c r="O218" s="1652"/>
    </row>
    <row r="219" spans="1:17" ht="18" hidden="1" customHeight="1">
      <c r="A219" s="259"/>
      <c r="B219" s="1636" t="s">
        <v>457</v>
      </c>
      <c r="C219" s="26" t="s">
        <v>407</v>
      </c>
      <c r="D219" s="485">
        <v>21</v>
      </c>
      <c r="E219" s="486">
        <f>35*0.6</f>
        <v>21</v>
      </c>
      <c r="F219" s="486">
        <f>E219</f>
        <v>21</v>
      </c>
      <c r="G219" s="486">
        <v>21</v>
      </c>
      <c r="H219" s="486">
        <v>21</v>
      </c>
      <c r="I219" s="486">
        <f>H211+H208+H205+H199+H202</f>
        <v>21</v>
      </c>
      <c r="J219" s="485">
        <v>21</v>
      </c>
      <c r="K219" s="485">
        <v>21</v>
      </c>
      <c r="L219" s="1592">
        <v>21</v>
      </c>
      <c r="M219" s="2664">
        <f t="shared" si="80"/>
        <v>21</v>
      </c>
      <c r="N219" s="485"/>
      <c r="O219" s="1610"/>
      <c r="Q219" s="423"/>
    </row>
    <row r="220" spans="1:17" ht="30" hidden="1">
      <c r="A220" s="244"/>
      <c r="B220" s="34" t="s">
        <v>290</v>
      </c>
      <c r="C220" s="92" t="s">
        <v>291</v>
      </c>
      <c r="D220" s="416">
        <v>19117.009999999998</v>
      </c>
      <c r="E220" s="479">
        <v>20891.66</v>
      </c>
      <c r="F220" s="479">
        <v>22149.599999999999</v>
      </c>
      <c r="G220" s="479">
        <v>22590</v>
      </c>
      <c r="H220" s="479">
        <v>22971.4</v>
      </c>
      <c r="I220" s="479">
        <v>22718.65</v>
      </c>
      <c r="J220" s="416">
        <v>23626.5</v>
      </c>
      <c r="K220" s="416">
        <f>J220*1.043</f>
        <v>24642.439499999997</v>
      </c>
      <c r="L220" s="415">
        <f>K220*1.043</f>
        <v>25702.064398499995</v>
      </c>
      <c r="M220" s="2664">
        <f t="shared" si="80"/>
        <v>23626.5</v>
      </c>
      <c r="N220" s="416"/>
      <c r="O220" s="1030"/>
    </row>
    <row r="221" spans="1:17" ht="28.5" hidden="1" customHeight="1" thickBot="1">
      <c r="A221" s="269"/>
      <c r="B221" s="270" t="s">
        <v>467</v>
      </c>
      <c r="C221" s="271" t="s">
        <v>32</v>
      </c>
      <c r="D221" s="491">
        <f t="shared" ref="D221:L221" si="90">D217</f>
        <v>4817.4865199999995</v>
      </c>
      <c r="E221" s="491">
        <f t="shared" si="90"/>
        <v>5264.6983200000004</v>
      </c>
      <c r="F221" s="491">
        <f t="shared" si="90"/>
        <v>5581.6991999999991</v>
      </c>
      <c r="G221" s="491">
        <f t="shared" si="90"/>
        <v>5692.68</v>
      </c>
      <c r="H221" s="491">
        <f t="shared" si="90"/>
        <v>2894.3964000000005</v>
      </c>
      <c r="I221" s="491">
        <f t="shared" si="90"/>
        <v>5725.0998000000009</v>
      </c>
      <c r="J221" s="491">
        <f t="shared" si="90"/>
        <v>5953.8779999999997</v>
      </c>
      <c r="K221" s="491">
        <f t="shared" si="90"/>
        <v>6209.8947539999999</v>
      </c>
      <c r="L221" s="491">
        <f t="shared" si="90"/>
        <v>6476.9202284219982</v>
      </c>
      <c r="M221" s="491">
        <f t="shared" si="80"/>
        <v>5953.8779999999997</v>
      </c>
      <c r="N221" s="491">
        <f>N198+N201+N204+N217</f>
        <v>0</v>
      </c>
      <c r="O221" s="1618">
        <f>O198+O201+O204+O217</f>
        <v>0</v>
      </c>
    </row>
    <row r="222" spans="1:17" ht="15.75" hidden="1" thickBot="1">
      <c r="A222" s="262"/>
      <c r="B222" s="252" t="s">
        <v>376</v>
      </c>
      <c r="C222" s="253" t="s">
        <v>280</v>
      </c>
      <c r="D222" s="492"/>
      <c r="E222" s="492">
        <v>30.2</v>
      </c>
      <c r="F222" s="488">
        <v>30.2</v>
      </c>
      <c r="G222" s="488">
        <v>30.2</v>
      </c>
      <c r="H222" s="488">
        <v>30.2</v>
      </c>
      <c r="I222" s="488">
        <v>30.2</v>
      </c>
      <c r="J222" s="492">
        <v>30.2</v>
      </c>
      <c r="K222" s="492">
        <v>30.2</v>
      </c>
      <c r="L222" s="1596">
        <v>30.2</v>
      </c>
      <c r="M222" s="497">
        <f t="shared" si="80"/>
        <v>30.2</v>
      </c>
      <c r="N222" s="492"/>
      <c r="O222" s="1117"/>
    </row>
    <row r="223" spans="1:17" ht="15.75" hidden="1" thickBot="1">
      <c r="A223" s="254"/>
      <c r="B223" s="249" t="s">
        <v>459</v>
      </c>
      <c r="C223" s="272" t="s">
        <v>11</v>
      </c>
      <c r="D223" s="493">
        <f>D221*D222/100</f>
        <v>0</v>
      </c>
      <c r="E223" s="493">
        <f>E221*E222/100</f>
        <v>1589.9388926399999</v>
      </c>
      <c r="F223" s="493">
        <f t="shared" ref="F223:K223" si="91">F221*F222/100</f>
        <v>1685.6731583999997</v>
      </c>
      <c r="G223" s="493">
        <f t="shared" si="91"/>
        <v>1719.1893600000001</v>
      </c>
      <c r="H223" s="493">
        <f t="shared" si="91"/>
        <v>874.10771280000017</v>
      </c>
      <c r="I223" s="493">
        <f t="shared" si="91"/>
        <v>1728.9801396</v>
      </c>
      <c r="J223" s="493">
        <f t="shared" si="91"/>
        <v>1798.071156</v>
      </c>
      <c r="K223" s="493">
        <f t="shared" si="91"/>
        <v>1875.388215708</v>
      </c>
      <c r="L223" s="1597">
        <f>L221*L222/100</f>
        <v>1956.0299089834434</v>
      </c>
      <c r="M223" s="1597">
        <f t="shared" si="80"/>
        <v>1798.071156</v>
      </c>
      <c r="N223" s="493">
        <f t="shared" ref="N223:O223" si="92">N221*N222</f>
        <v>0</v>
      </c>
      <c r="O223" s="1295">
        <f t="shared" si="92"/>
        <v>0</v>
      </c>
    </row>
    <row r="224" spans="1:17" ht="18" hidden="1" customHeight="1" thickBot="1">
      <c r="A224" s="262"/>
      <c r="B224" s="252" t="s">
        <v>460</v>
      </c>
      <c r="C224" s="255"/>
      <c r="D224" s="492">
        <f t="shared" ref="D224:O224" si="93">D199+D202+D205+D219</f>
        <v>21</v>
      </c>
      <c r="E224" s="488">
        <f t="shared" si="93"/>
        <v>30</v>
      </c>
      <c r="F224" s="488">
        <f t="shared" si="93"/>
        <v>21</v>
      </c>
      <c r="G224" s="488">
        <f t="shared" si="93"/>
        <v>30</v>
      </c>
      <c r="H224" s="488">
        <v>21</v>
      </c>
      <c r="I224" s="488">
        <v>21</v>
      </c>
      <c r="J224" s="492">
        <v>21</v>
      </c>
      <c r="K224" s="492">
        <f t="shared" si="93"/>
        <v>30</v>
      </c>
      <c r="L224" s="1596">
        <f t="shared" si="93"/>
        <v>30</v>
      </c>
      <c r="M224" s="1619">
        <f t="shared" si="93"/>
        <v>30</v>
      </c>
      <c r="N224" s="492">
        <f t="shared" si="93"/>
        <v>0</v>
      </c>
      <c r="O224" s="1117">
        <f t="shared" si="93"/>
        <v>0</v>
      </c>
    </row>
    <row r="225" spans="1:15">
      <c r="A225" s="1655" t="s">
        <v>410</v>
      </c>
      <c r="B225" s="1656" t="s">
        <v>370</v>
      </c>
      <c r="C225" s="1657"/>
      <c r="D225" s="1658"/>
      <c r="E225" s="1658"/>
      <c r="F225" s="1658"/>
      <c r="G225" s="1658"/>
      <c r="H225" s="1658"/>
      <c r="I225" s="1658"/>
      <c r="J225" s="1658"/>
      <c r="K225" s="1658"/>
      <c r="L225" s="1658"/>
      <c r="M225" s="1658"/>
      <c r="N225" s="1658"/>
      <c r="O225" s="1659"/>
    </row>
    <row r="226" spans="1:15" hidden="1">
      <c r="A226" s="1036"/>
      <c r="B226" s="1"/>
      <c r="C226" s="1653" t="s">
        <v>32</v>
      </c>
      <c r="D226" s="1319">
        <f>(D257*D258*12)/1000</f>
        <v>0</v>
      </c>
      <c r="E226" s="1319">
        <f t="shared" ref="E226:J226" si="94">(E257*E258*12)/1000</f>
        <v>0</v>
      </c>
      <c r="F226" s="1319">
        <f t="shared" si="94"/>
        <v>0</v>
      </c>
      <c r="G226" s="1319">
        <f t="shared" si="94"/>
        <v>0</v>
      </c>
      <c r="H226" s="1319"/>
      <c r="I226" s="1319"/>
      <c r="J226" s="1319">
        <f t="shared" si="94"/>
        <v>0</v>
      </c>
      <c r="K226" s="1319">
        <f t="shared" ref="K226:O226" si="95">(K257*K258*12)/1000</f>
        <v>0</v>
      </c>
      <c r="L226" s="1319">
        <f t="shared" si="95"/>
        <v>0</v>
      </c>
      <c r="M226" s="1319">
        <f t="shared" si="95"/>
        <v>0</v>
      </c>
      <c r="N226" s="1319">
        <f t="shared" si="95"/>
        <v>0</v>
      </c>
      <c r="O226" s="1660">
        <f t="shared" si="95"/>
        <v>0</v>
      </c>
    </row>
    <row r="227" spans="1:15">
      <c r="A227" s="1766" t="s">
        <v>468</v>
      </c>
      <c r="B227" s="1654" t="s">
        <v>1245</v>
      </c>
      <c r="C227" s="1767" t="s">
        <v>32</v>
      </c>
      <c r="D227" s="1768">
        <f>D265</f>
        <v>2008.45</v>
      </c>
      <c r="E227" s="1768">
        <f>E265</f>
        <v>3658.4855999999995</v>
      </c>
      <c r="F227" s="1768">
        <f t="shared" ref="F227:O227" si="96">F265</f>
        <v>4041.9002400000004</v>
      </c>
      <c r="G227" s="1768">
        <f t="shared" si="96"/>
        <v>3956.8872000000001</v>
      </c>
      <c r="H227" s="1768">
        <v>2011.4</v>
      </c>
      <c r="I227" s="1768">
        <v>2011.4</v>
      </c>
      <c r="J227" s="1768">
        <f t="shared" si="96"/>
        <v>4137.3360000000002</v>
      </c>
      <c r="K227" s="1768">
        <f t="shared" si="96"/>
        <v>4315.2414479999998</v>
      </c>
      <c r="L227" s="1768">
        <f t="shared" si="96"/>
        <v>4500.7968302639993</v>
      </c>
      <c r="M227" s="1768">
        <f t="shared" si="96"/>
        <v>4147.6828057706398</v>
      </c>
      <c r="N227" s="1768">
        <f t="shared" si="96"/>
        <v>0</v>
      </c>
      <c r="O227" s="1768">
        <f t="shared" si="96"/>
        <v>0</v>
      </c>
    </row>
    <row r="228" spans="1:15">
      <c r="A228" s="1661"/>
      <c r="B228" s="1644" t="s">
        <v>1236</v>
      </c>
      <c r="C228" s="1640"/>
      <c r="D228" s="486"/>
      <c r="E228" s="486"/>
      <c r="F228" s="486"/>
      <c r="G228" s="486"/>
      <c r="H228" s="486"/>
      <c r="I228" s="486"/>
      <c r="J228" s="486"/>
      <c r="K228" s="486"/>
      <c r="L228" s="1641"/>
      <c r="M228" s="1642"/>
      <c r="N228" s="486"/>
      <c r="O228" s="1643"/>
    </row>
    <row r="229" spans="1:15">
      <c r="A229" s="1662" t="s">
        <v>463</v>
      </c>
      <c r="B229" s="1625" t="s">
        <v>464</v>
      </c>
      <c r="C229" s="92" t="s">
        <v>32</v>
      </c>
      <c r="D229" s="416">
        <f t="shared" ref="D229:E229" si="97">(D230*D231*12)/1000</f>
        <v>0</v>
      </c>
      <c r="E229" s="479">
        <f t="shared" si="97"/>
        <v>1151.2464</v>
      </c>
      <c r="F229" s="479">
        <f>(F230*F231*12)/1000</f>
        <v>0</v>
      </c>
      <c r="G229" s="479">
        <f t="shared" ref="G229:O229" si="98">(G230*G231*12)/1000</f>
        <v>1246.7998511999999</v>
      </c>
      <c r="H229" s="479">
        <f>(H230*H231*6)/1000</f>
        <v>636</v>
      </c>
      <c r="I229" s="479">
        <f>(I230*I231*12)/1000</f>
        <v>1267.2</v>
      </c>
      <c r="J229" s="479">
        <f t="shared" si="98"/>
        <v>1304.1526443552</v>
      </c>
      <c r="K229" s="479">
        <f t="shared" si="98"/>
        <v>1360.2312080624733</v>
      </c>
      <c r="L229" s="479">
        <f t="shared" si="98"/>
        <v>1418.7211500091596</v>
      </c>
      <c r="M229" s="2646">
        <f t="shared" si="98"/>
        <v>1304.1526443552</v>
      </c>
      <c r="N229" s="416">
        <f t="shared" si="98"/>
        <v>0</v>
      </c>
      <c r="O229" s="1030">
        <f t="shared" si="98"/>
        <v>0</v>
      </c>
    </row>
    <row r="230" spans="1:15" ht="30">
      <c r="A230" s="1662"/>
      <c r="B230" s="34" t="s">
        <v>457</v>
      </c>
      <c r="C230" s="92" t="s">
        <v>407</v>
      </c>
      <c r="D230" s="416"/>
      <c r="E230" s="479">
        <v>4</v>
      </c>
      <c r="F230" s="479"/>
      <c r="G230" s="479">
        <v>4</v>
      </c>
      <c r="H230" s="479">
        <v>4</v>
      </c>
      <c r="I230" s="479">
        <v>4</v>
      </c>
      <c r="J230" s="416">
        <v>4</v>
      </c>
      <c r="K230" s="416">
        <v>4</v>
      </c>
      <c r="L230" s="415">
        <v>4</v>
      </c>
      <c r="M230" s="1604">
        <f>J230</f>
        <v>4</v>
      </c>
      <c r="N230" s="416"/>
      <c r="O230" s="1030"/>
    </row>
    <row r="231" spans="1:15" ht="30">
      <c r="A231" s="1662"/>
      <c r="B231" s="34" t="s">
        <v>290</v>
      </c>
      <c r="C231" s="92" t="s">
        <v>291</v>
      </c>
      <c r="D231" s="416"/>
      <c r="E231" s="479">
        <v>23984.3</v>
      </c>
      <c r="F231" s="479"/>
      <c r="G231" s="479">
        <f>E231*1.083</f>
        <v>25974.996899999998</v>
      </c>
      <c r="H231" s="479">
        <v>26500</v>
      </c>
      <c r="I231" s="479">
        <v>26400</v>
      </c>
      <c r="J231" s="416">
        <f>G231*1.046</f>
        <v>27169.846757399999</v>
      </c>
      <c r="K231" s="416">
        <f>J231*1.043</f>
        <v>28338.150167968197</v>
      </c>
      <c r="L231" s="415">
        <f>K231*1.043</f>
        <v>29556.690625190826</v>
      </c>
      <c r="M231" s="1604">
        <f>J231</f>
        <v>27169.846757399999</v>
      </c>
      <c r="N231" s="416"/>
      <c r="O231" s="1030"/>
    </row>
    <row r="232" spans="1:15">
      <c r="A232" s="1662" t="s">
        <v>465</v>
      </c>
      <c r="B232" s="1625" t="s">
        <v>1240</v>
      </c>
      <c r="C232" s="92" t="s">
        <v>32</v>
      </c>
      <c r="D232" s="416">
        <f t="shared" ref="D232:O232" si="99">(D233*D234*12)/1000</f>
        <v>0</v>
      </c>
      <c r="E232" s="479">
        <f t="shared" si="99"/>
        <v>533.48639999999989</v>
      </c>
      <c r="F232" s="479">
        <f t="shared" si="99"/>
        <v>0</v>
      </c>
      <c r="G232" s="479">
        <f t="shared" si="99"/>
        <v>577.2322848</v>
      </c>
      <c r="H232" s="479">
        <f>(H233*H234*6)/1000</f>
        <v>298.2</v>
      </c>
      <c r="I232" s="479">
        <f>(I233*I234*12)/1000</f>
        <v>592.79999999999995</v>
      </c>
      <c r="J232" s="416">
        <f t="shared" si="99"/>
        <v>603.55407698688009</v>
      </c>
      <c r="K232" s="416">
        <f t="shared" si="99"/>
        <v>629.50690229731583</v>
      </c>
      <c r="L232" s="415">
        <f t="shared" si="99"/>
        <v>656.57569909610038</v>
      </c>
      <c r="M232" s="2646">
        <f t="shared" si="99"/>
        <v>603.55407698688009</v>
      </c>
      <c r="N232" s="416">
        <f t="shared" si="99"/>
        <v>0</v>
      </c>
      <c r="O232" s="1030">
        <f t="shared" si="99"/>
        <v>0</v>
      </c>
    </row>
    <row r="233" spans="1:15" ht="30">
      <c r="A233" s="1662"/>
      <c r="B233" s="34" t="s">
        <v>457</v>
      </c>
      <c r="C233" s="92" t="s">
        <v>407</v>
      </c>
      <c r="D233" s="416"/>
      <c r="E233" s="479">
        <v>2</v>
      </c>
      <c r="F233" s="479"/>
      <c r="G233" s="479">
        <v>2</v>
      </c>
      <c r="H233" s="479">
        <v>2</v>
      </c>
      <c r="I233" s="479">
        <v>2</v>
      </c>
      <c r="J233" s="416">
        <v>2</v>
      </c>
      <c r="K233" s="416">
        <v>2</v>
      </c>
      <c r="L233" s="415">
        <v>2</v>
      </c>
      <c r="M233" s="1604">
        <f>J233</f>
        <v>2</v>
      </c>
      <c r="N233" s="416"/>
      <c r="O233" s="1030"/>
    </row>
    <row r="234" spans="1:15" ht="30">
      <c r="A234" s="1662"/>
      <c r="B234" s="34" t="s">
        <v>290</v>
      </c>
      <c r="C234" s="92" t="s">
        <v>291</v>
      </c>
      <c r="D234" s="416"/>
      <c r="E234" s="479">
        <v>22228.6</v>
      </c>
      <c r="F234" s="479"/>
      <c r="G234" s="479">
        <f>E234*1.082</f>
        <v>24051.3452</v>
      </c>
      <c r="H234" s="479">
        <v>24850</v>
      </c>
      <c r="I234" s="479">
        <v>24700</v>
      </c>
      <c r="J234" s="416">
        <f>G234*1.0456</f>
        <v>25148.086541120003</v>
      </c>
      <c r="K234" s="416">
        <f>J234*1.043</f>
        <v>26229.454262388161</v>
      </c>
      <c r="L234" s="415">
        <f>K234*1.043</f>
        <v>27357.32079567085</v>
      </c>
      <c r="M234" s="1604">
        <f>J234</f>
        <v>25148.086541120003</v>
      </c>
      <c r="N234" s="416"/>
      <c r="O234" s="1030"/>
    </row>
    <row r="235" spans="1:15" ht="39">
      <c r="A235" s="1662" t="s">
        <v>466</v>
      </c>
      <c r="B235" s="1666" t="s">
        <v>1241</v>
      </c>
      <c r="C235" s="92" t="s">
        <v>32</v>
      </c>
      <c r="D235" s="416">
        <f t="shared" ref="D235:O235" si="100">(D236*D237*12)/1000</f>
        <v>0</v>
      </c>
      <c r="E235" s="479">
        <f t="shared" si="100"/>
        <v>217.25040000000001</v>
      </c>
      <c r="F235" s="479">
        <f t="shared" si="100"/>
        <v>0</v>
      </c>
      <c r="G235" s="479">
        <f t="shared" si="100"/>
        <v>235.49943360000006</v>
      </c>
      <c r="H235" s="479">
        <f>(H236*H237*6)/1000</f>
        <v>121.2</v>
      </c>
      <c r="I235" s="479">
        <f>(I236*I237*12)/1000</f>
        <v>237.6</v>
      </c>
      <c r="J235" s="416">
        <f t="shared" si="100"/>
        <v>246.23820777216002</v>
      </c>
      <c r="K235" s="416">
        <f t="shared" si="100"/>
        <v>256.82645070636289</v>
      </c>
      <c r="L235" s="415">
        <f t="shared" si="100"/>
        <v>267.8699880867365</v>
      </c>
      <c r="M235" s="2646">
        <f t="shared" si="100"/>
        <v>246.23820777216002</v>
      </c>
      <c r="N235" s="416">
        <f t="shared" si="100"/>
        <v>0</v>
      </c>
      <c r="O235" s="1030">
        <f t="shared" si="100"/>
        <v>0</v>
      </c>
    </row>
    <row r="236" spans="1:15" ht="30">
      <c r="A236" s="1662"/>
      <c r="B236" s="34" t="s">
        <v>457</v>
      </c>
      <c r="C236" s="92" t="s">
        <v>407</v>
      </c>
      <c r="D236" s="416"/>
      <c r="E236" s="479">
        <v>1</v>
      </c>
      <c r="F236" s="479"/>
      <c r="G236" s="479">
        <v>1</v>
      </c>
      <c r="H236" s="479">
        <v>1</v>
      </c>
      <c r="I236" s="479">
        <v>1</v>
      </c>
      <c r="J236" s="416">
        <v>1</v>
      </c>
      <c r="K236" s="416">
        <v>1</v>
      </c>
      <c r="L236" s="415">
        <v>1</v>
      </c>
      <c r="M236" s="1604">
        <f>J236</f>
        <v>1</v>
      </c>
      <c r="N236" s="416"/>
      <c r="O236" s="1030"/>
    </row>
    <row r="237" spans="1:15" ht="30">
      <c r="A237" s="1662"/>
      <c r="B237" s="34" t="s">
        <v>290</v>
      </c>
      <c r="C237" s="92" t="s">
        <v>291</v>
      </c>
      <c r="D237" s="416"/>
      <c r="E237" s="479">
        <v>18104.2</v>
      </c>
      <c r="F237" s="479"/>
      <c r="G237" s="479">
        <f>E237*1.084</f>
        <v>19624.952800000003</v>
      </c>
      <c r="H237" s="479">
        <v>20200</v>
      </c>
      <c r="I237" s="479">
        <v>19800</v>
      </c>
      <c r="J237" s="479">
        <f>G237*1.0456</f>
        <v>20519.850647680003</v>
      </c>
      <c r="K237" s="479">
        <f>J237*1.043</f>
        <v>21402.20422553024</v>
      </c>
      <c r="L237" s="479">
        <f>K237*1.043</f>
        <v>22322.499007228038</v>
      </c>
      <c r="M237" s="1604">
        <f>J237</f>
        <v>20519.850647680003</v>
      </c>
      <c r="N237" s="416"/>
      <c r="O237" s="1030"/>
    </row>
    <row r="238" spans="1:15" ht="26.25">
      <c r="A238" s="1662" t="s">
        <v>1243</v>
      </c>
      <c r="B238" s="1666" t="s">
        <v>1242</v>
      </c>
      <c r="C238" s="92" t="s">
        <v>32</v>
      </c>
      <c r="D238" s="416">
        <f>(D239*D240*12)/1000</f>
        <v>0</v>
      </c>
      <c r="E238" s="479">
        <f>(E239*E240*12)/1000</f>
        <v>220.92240000000001</v>
      </c>
      <c r="F238" s="479">
        <f>(F239*F240*12)/1000</f>
        <v>0</v>
      </c>
      <c r="G238" s="416">
        <f>(G239*G240*12)/1000+3.2</f>
        <v>240.0288128</v>
      </c>
      <c r="H238" s="416">
        <f>(H239*H240*6)/1000+3.2</f>
        <v>123.8</v>
      </c>
      <c r="I238" s="416">
        <f>(I239*I240*12)/1000+3.2</f>
        <v>240.61999999999998</v>
      </c>
      <c r="J238" s="416">
        <f>(J239*J240*12)/1000</f>
        <v>249.73598309759998</v>
      </c>
      <c r="K238" s="416">
        <f>J238*1.043</f>
        <v>260.47463037079677</v>
      </c>
      <c r="L238" s="415">
        <f>K238*1.043</f>
        <v>271.67503947674101</v>
      </c>
      <c r="M238" s="2646">
        <f>(M239*M240*12)/1000</f>
        <v>249.73598309759998</v>
      </c>
      <c r="N238" s="416">
        <f>(N239*N240*12)/1000</f>
        <v>0</v>
      </c>
      <c r="O238" s="1030">
        <f>(O239*O240*12)/1000</f>
        <v>0</v>
      </c>
    </row>
    <row r="239" spans="1:15" ht="30">
      <c r="A239" s="1662"/>
      <c r="B239" s="34" t="s">
        <v>457</v>
      </c>
      <c r="C239" s="92" t="s">
        <v>407</v>
      </c>
      <c r="D239" s="416"/>
      <c r="E239" s="479">
        <v>1</v>
      </c>
      <c r="F239" s="479"/>
      <c r="G239" s="479">
        <v>1</v>
      </c>
      <c r="H239" s="479">
        <v>1</v>
      </c>
      <c r="I239" s="479">
        <v>1</v>
      </c>
      <c r="J239" s="416">
        <v>1</v>
      </c>
      <c r="K239" s="416">
        <v>1</v>
      </c>
      <c r="L239" s="415">
        <v>1</v>
      </c>
      <c r="M239" s="1604">
        <f>J239</f>
        <v>1</v>
      </c>
      <c r="N239" s="416"/>
      <c r="O239" s="1030"/>
    </row>
    <row r="240" spans="1:15" ht="30">
      <c r="A240" s="1662"/>
      <c r="B240" s="34" t="s">
        <v>290</v>
      </c>
      <c r="C240" s="92" t="s">
        <v>291</v>
      </c>
      <c r="D240" s="416"/>
      <c r="E240" s="479">
        <v>18410.2</v>
      </c>
      <c r="F240" s="479"/>
      <c r="G240" s="479">
        <f>E240*1.072</f>
        <v>19735.734400000001</v>
      </c>
      <c r="H240" s="479">
        <v>20100</v>
      </c>
      <c r="I240" s="479">
        <v>19785</v>
      </c>
      <c r="J240" s="479">
        <f>G240*1.0545</f>
        <v>20811.331924800001</v>
      </c>
      <c r="K240" s="479">
        <f>J240*1.043</f>
        <v>21706.219197566399</v>
      </c>
      <c r="L240" s="479">
        <f>K240*1.043</f>
        <v>22639.586623061754</v>
      </c>
      <c r="M240" s="1604">
        <f>J240</f>
        <v>20811.331924800001</v>
      </c>
      <c r="N240" s="416"/>
      <c r="O240" s="1030"/>
    </row>
    <row r="241" spans="1:15">
      <c r="A241" s="1662" t="s">
        <v>1250</v>
      </c>
      <c r="B241" s="1666" t="s">
        <v>1247</v>
      </c>
      <c r="C241" s="92" t="s">
        <v>32</v>
      </c>
      <c r="D241" s="416">
        <f>(D242*D243*12)/1000</f>
        <v>0</v>
      </c>
      <c r="E241" s="479">
        <f>(E242*E243*12)/1000</f>
        <v>1535.6232</v>
      </c>
      <c r="F241" s="479">
        <f>(F242*F243*12)/1000</f>
        <v>0</v>
      </c>
      <c r="G241" s="416">
        <f>(G242*G243*12)/1000+3.2</f>
        <v>1657.0661863999999</v>
      </c>
      <c r="H241" s="416">
        <f>(H242*H243*6)/1000</f>
        <v>832.32</v>
      </c>
      <c r="I241" s="416">
        <f>(I242*I243*12)/1000</f>
        <v>1640.16</v>
      </c>
      <c r="J241" s="416">
        <f>(J242*J243*12)/1000</f>
        <v>1744.0018935587998</v>
      </c>
      <c r="K241" s="416">
        <f>J241*1.043</f>
        <v>1818.9939749818282</v>
      </c>
      <c r="L241" s="415">
        <f>K241*1.043</f>
        <v>1897.2107159060467</v>
      </c>
      <c r="M241" s="2646">
        <f>(M242*M243*12)/1000</f>
        <v>1744.0018935587998</v>
      </c>
      <c r="N241" s="416">
        <f>(N242*N243*12)/1000</f>
        <v>0</v>
      </c>
      <c r="O241" s="1030">
        <f>(O242*O243*12)/1000</f>
        <v>0</v>
      </c>
    </row>
    <row r="242" spans="1:15" ht="15" customHeight="1">
      <c r="A242" s="1662"/>
      <c r="B242" s="34" t="s">
        <v>457</v>
      </c>
      <c r="C242" s="92" t="s">
        <v>407</v>
      </c>
      <c r="D242" s="416"/>
      <c r="E242" s="479">
        <v>6</v>
      </c>
      <c r="F242" s="479"/>
      <c r="G242" s="479">
        <v>6</v>
      </c>
      <c r="H242" s="479">
        <v>6</v>
      </c>
      <c r="I242" s="479">
        <v>6</v>
      </c>
      <c r="J242" s="416">
        <v>6</v>
      </c>
      <c r="K242" s="416">
        <v>6</v>
      </c>
      <c r="L242" s="415">
        <v>6</v>
      </c>
      <c r="M242" s="1604">
        <f>J242</f>
        <v>6</v>
      </c>
      <c r="N242" s="416"/>
      <c r="O242" s="1030"/>
    </row>
    <row r="243" spans="1:15" ht="30.75" thickBot="1">
      <c r="A243" s="1662"/>
      <c r="B243" s="34" t="s">
        <v>290</v>
      </c>
      <c r="C243" s="92" t="s">
        <v>291</v>
      </c>
      <c r="D243" s="416"/>
      <c r="E243" s="479">
        <v>21328.1</v>
      </c>
      <c r="F243" s="479"/>
      <c r="G243" s="479">
        <f>E243*1.077</f>
        <v>22970.363699999998</v>
      </c>
      <c r="H243" s="479">
        <v>23120</v>
      </c>
      <c r="I243" s="479">
        <v>22780</v>
      </c>
      <c r="J243" s="479">
        <f>G243*1.0545</f>
        <v>24222.248521649999</v>
      </c>
      <c r="K243" s="479">
        <f>J243*1.043</f>
        <v>25263.805208080947</v>
      </c>
      <c r="L243" s="479">
        <f>K243*1.043</f>
        <v>26350.148832028426</v>
      </c>
      <c r="M243" s="1604">
        <f>J243</f>
        <v>24222.248521649999</v>
      </c>
      <c r="N243" s="416"/>
      <c r="O243" s="1030"/>
    </row>
    <row r="244" spans="1:15" ht="15.75" hidden="1" thickBot="1">
      <c r="A244" s="1663"/>
      <c r="B244" s="260"/>
      <c r="C244" s="26"/>
      <c r="D244" s="485"/>
      <c r="E244" s="486"/>
      <c r="F244" s="486"/>
      <c r="G244" s="486"/>
      <c r="H244" s="486"/>
      <c r="I244" s="486"/>
      <c r="J244" s="485"/>
      <c r="K244" s="485"/>
      <c r="L244" s="1592"/>
      <c r="M244" s="1609"/>
      <c r="N244" s="485"/>
      <c r="O244" s="1610"/>
    </row>
    <row r="245" spans="1:15" ht="15.75" hidden="1" thickBot="1">
      <c r="A245" s="1663"/>
      <c r="B245" s="260"/>
      <c r="C245" s="26"/>
      <c r="D245" s="485"/>
      <c r="E245" s="486"/>
      <c r="F245" s="486"/>
      <c r="G245" s="486"/>
      <c r="H245" s="486"/>
      <c r="I245" s="486"/>
      <c r="J245" s="485"/>
      <c r="K245" s="485"/>
      <c r="L245" s="1592"/>
      <c r="M245" s="1609"/>
      <c r="N245" s="485"/>
      <c r="O245" s="1610"/>
    </row>
    <row r="246" spans="1:15" ht="15.75" hidden="1" thickBot="1">
      <c r="A246" s="1663"/>
      <c r="B246" s="260"/>
      <c r="C246" s="26"/>
      <c r="D246" s="485"/>
      <c r="E246" s="486">
        <f>E229+E232+E235+E238+E241</f>
        <v>3658.5287999999996</v>
      </c>
      <c r="F246" s="1623">
        <f t="shared" ref="F246:L246" si="101">F229+F232+F235+F238+F241</f>
        <v>0</v>
      </c>
      <c r="G246" s="1623">
        <f t="shared" si="101"/>
        <v>3956.6265687999999</v>
      </c>
      <c r="H246" s="1623"/>
      <c r="I246" s="1623"/>
      <c r="J246" s="1623">
        <f t="shared" si="101"/>
        <v>4147.6828057706398</v>
      </c>
      <c r="K246" s="1623">
        <f t="shared" si="101"/>
        <v>4326.0331664187761</v>
      </c>
      <c r="L246" s="1623">
        <f t="shared" si="101"/>
        <v>4512.0525925747843</v>
      </c>
      <c r="M246" s="1609"/>
      <c r="N246" s="485"/>
      <c r="O246" s="1610"/>
    </row>
    <row r="247" spans="1:15" ht="15.75" hidden="1" thickBot="1">
      <c r="A247" s="1663"/>
      <c r="B247" s="260"/>
      <c r="C247" s="26"/>
      <c r="D247" s="485"/>
      <c r="E247" s="486">
        <f>E230+E233+E236+E239+E242</f>
        <v>14</v>
      </c>
      <c r="F247" s="1623">
        <f t="shared" ref="F247:L247" si="102">F230+F233+F236+F239+F242</f>
        <v>0</v>
      </c>
      <c r="G247" s="1623">
        <f t="shared" si="102"/>
        <v>14</v>
      </c>
      <c r="H247" s="1623"/>
      <c r="I247" s="1623"/>
      <c r="J247" s="1623">
        <f t="shared" si="102"/>
        <v>14</v>
      </c>
      <c r="K247" s="1623">
        <f t="shared" si="102"/>
        <v>14</v>
      </c>
      <c r="L247" s="1623">
        <f t="shared" si="102"/>
        <v>14</v>
      </c>
      <c r="M247" s="1609"/>
      <c r="N247" s="485"/>
      <c r="O247" s="1610"/>
    </row>
    <row r="248" spans="1:15" ht="15.75" hidden="1" thickBot="1">
      <c r="A248" s="1663"/>
      <c r="B248" s="260"/>
      <c r="C248" s="26"/>
      <c r="D248" s="485"/>
      <c r="E248" s="486">
        <f>E246/E247/12*1000</f>
        <v>21776.957142857143</v>
      </c>
      <c r="F248" s="1623"/>
      <c r="G248" s="1623">
        <f>G246/G247/12*1000+1</f>
        <v>23552.348623809521</v>
      </c>
      <c r="H248" s="1623"/>
      <c r="I248" s="1623"/>
      <c r="J248" s="1623">
        <f t="shared" ref="J248:L248" si="103">J246/J247/12*1000</f>
        <v>24688.58812958714</v>
      </c>
      <c r="K248" s="1623">
        <f t="shared" si="103"/>
        <v>25750.19741915938</v>
      </c>
      <c r="L248" s="1623">
        <f t="shared" si="103"/>
        <v>26857.455908183241</v>
      </c>
      <c r="M248" s="1609"/>
      <c r="N248" s="485"/>
      <c r="O248" s="1610"/>
    </row>
    <row r="249" spans="1:15" ht="15.75" hidden="1" thickBot="1">
      <c r="A249" s="1663"/>
      <c r="B249" s="260"/>
      <c r="C249" s="26"/>
      <c r="D249" s="485"/>
      <c r="E249" s="486"/>
      <c r="F249" s="486"/>
      <c r="G249" s="486"/>
      <c r="H249" s="486"/>
      <c r="I249" s="486"/>
      <c r="J249" s="485"/>
      <c r="K249" s="485"/>
      <c r="L249" s="1592"/>
      <c r="M249" s="1609"/>
      <c r="N249" s="485"/>
      <c r="O249" s="1610"/>
    </row>
    <row r="250" spans="1:15" ht="15.75" hidden="1" thickBot="1">
      <c r="A250" s="1663"/>
      <c r="B250" s="260"/>
      <c r="C250" s="26"/>
      <c r="D250" s="485"/>
      <c r="E250" s="486"/>
      <c r="F250" s="486"/>
      <c r="G250" s="486"/>
      <c r="H250" s="486"/>
      <c r="I250" s="486"/>
      <c r="J250" s="485"/>
      <c r="K250" s="485"/>
      <c r="L250" s="1592"/>
      <c r="M250" s="1609"/>
      <c r="N250" s="485"/>
      <c r="O250" s="1610"/>
    </row>
    <row r="251" spans="1:15" ht="15.75" hidden="1" thickBot="1">
      <c r="A251" s="1663"/>
      <c r="B251" s="260"/>
      <c r="C251" s="26"/>
      <c r="D251" s="485"/>
      <c r="E251" s="486"/>
      <c r="F251" s="486"/>
      <c r="G251" s="486"/>
      <c r="H251" s="486"/>
      <c r="I251" s="486"/>
      <c r="J251" s="485"/>
      <c r="K251" s="485"/>
      <c r="L251" s="1592"/>
      <c r="M251" s="1609"/>
      <c r="N251" s="485"/>
      <c r="O251" s="1610"/>
    </row>
    <row r="252" spans="1:15" ht="15.75" hidden="1" thickBot="1">
      <c r="A252" s="1663"/>
      <c r="B252" s="260"/>
      <c r="C252" s="26"/>
      <c r="D252" s="485"/>
      <c r="E252" s="486"/>
      <c r="F252" s="486"/>
      <c r="G252" s="486"/>
      <c r="H252" s="486"/>
      <c r="I252" s="486"/>
      <c r="J252" s="485"/>
      <c r="K252" s="485"/>
      <c r="L252" s="1592"/>
      <c r="M252" s="1609"/>
      <c r="N252" s="485"/>
      <c r="O252" s="1610"/>
    </row>
    <row r="253" spans="1:15" ht="15.75" hidden="1" thickBot="1">
      <c r="A253" s="1663"/>
      <c r="B253" s="260"/>
      <c r="C253" s="26"/>
      <c r="D253" s="485"/>
      <c r="E253" s="486"/>
      <c r="F253" s="486"/>
      <c r="G253" s="486"/>
      <c r="H253" s="486"/>
      <c r="I253" s="486"/>
      <c r="J253" s="485"/>
      <c r="K253" s="485"/>
      <c r="L253" s="1592"/>
      <c r="M253" s="1609"/>
      <c r="N253" s="485"/>
      <c r="O253" s="1610"/>
    </row>
    <row r="254" spans="1:15" ht="15.75" hidden="1" thickBot="1">
      <c r="A254" s="1663"/>
      <c r="B254" s="260"/>
      <c r="C254" s="26"/>
      <c r="D254" s="485"/>
      <c r="E254" s="486"/>
      <c r="F254" s="486"/>
      <c r="G254" s="486"/>
      <c r="H254" s="486"/>
      <c r="I254" s="486"/>
      <c r="J254" s="485"/>
      <c r="K254" s="485"/>
      <c r="L254" s="1592"/>
      <c r="M254" s="1609"/>
      <c r="N254" s="485"/>
      <c r="O254" s="1610"/>
    </row>
    <row r="255" spans="1:15" ht="15.75" hidden="1" thickBot="1">
      <c r="A255" s="1663"/>
      <c r="B255" s="260"/>
      <c r="C255" s="26"/>
      <c r="D255" s="485"/>
      <c r="E255" s="486"/>
      <c r="F255" s="486"/>
      <c r="G255" s="486"/>
      <c r="H255" s="486"/>
      <c r="I255" s="486"/>
      <c r="J255" s="485"/>
      <c r="K255" s="485"/>
      <c r="L255" s="1592"/>
      <c r="M255" s="1609"/>
      <c r="N255" s="485"/>
      <c r="O255" s="1610"/>
    </row>
    <row r="256" spans="1:15" ht="15.75" hidden="1" thickBot="1">
      <c r="A256" s="1663"/>
      <c r="B256" s="260"/>
      <c r="C256" s="26"/>
      <c r="D256" s="485"/>
      <c r="E256" s="486"/>
      <c r="F256" s="486"/>
      <c r="G256" s="486"/>
      <c r="H256" s="486"/>
      <c r="I256" s="486"/>
      <c r="J256" s="485"/>
      <c r="K256" s="485"/>
      <c r="L256" s="1592"/>
      <c r="M256" s="1609"/>
      <c r="N256" s="485"/>
      <c r="O256" s="1610"/>
    </row>
    <row r="257" spans="1:17" ht="30.75" hidden="1" thickBot="1">
      <c r="A257" s="1662"/>
      <c r="B257" s="34" t="s">
        <v>457</v>
      </c>
      <c r="C257" s="92" t="s">
        <v>407</v>
      </c>
      <c r="D257" s="416"/>
      <c r="E257" s="479"/>
      <c r="F257" s="479"/>
      <c r="G257" s="479"/>
      <c r="H257" s="479"/>
      <c r="I257" s="479"/>
      <c r="J257" s="416"/>
      <c r="K257" s="416"/>
      <c r="L257" s="415"/>
      <c r="M257" s="1604"/>
      <c r="N257" s="416"/>
      <c r="O257" s="1030"/>
    </row>
    <row r="258" spans="1:17" ht="30.75" hidden="1" thickBot="1">
      <c r="A258" s="1662"/>
      <c r="B258" s="34" t="s">
        <v>290</v>
      </c>
      <c r="C258" s="92" t="s">
        <v>291</v>
      </c>
      <c r="D258" s="416"/>
      <c r="E258" s="479"/>
      <c r="F258" s="479"/>
      <c r="G258" s="479"/>
      <c r="H258" s="479"/>
      <c r="I258" s="479"/>
      <c r="J258" s="416"/>
      <c r="K258" s="416"/>
      <c r="L258" s="415"/>
      <c r="M258" s="1604"/>
      <c r="N258" s="416"/>
      <c r="O258" s="1030"/>
    </row>
    <row r="259" spans="1:17" ht="15.75" hidden="1" thickBot="1">
      <c r="A259" s="1662" t="s">
        <v>469</v>
      </c>
      <c r="B259" s="245"/>
      <c r="C259" s="92" t="s">
        <v>32</v>
      </c>
      <c r="D259" s="416">
        <f>(D260*D261*12)/1000</f>
        <v>0</v>
      </c>
      <c r="E259" s="479">
        <f t="shared" ref="E259:J259" si="104">(E260*E261*12)/1000</f>
        <v>0</v>
      </c>
      <c r="F259" s="479">
        <f t="shared" si="104"/>
        <v>0</v>
      </c>
      <c r="G259" s="479">
        <f t="shared" si="104"/>
        <v>0</v>
      </c>
      <c r="H259" s="479"/>
      <c r="I259" s="479"/>
      <c r="J259" s="416">
        <f t="shared" si="104"/>
        <v>0</v>
      </c>
      <c r="K259" s="416">
        <f t="shared" ref="K259:O259" si="105">(K260*K261*12)/1000</f>
        <v>0</v>
      </c>
      <c r="L259" s="415">
        <f t="shared" si="105"/>
        <v>0</v>
      </c>
      <c r="M259" s="1604">
        <f t="shared" si="105"/>
        <v>0</v>
      </c>
      <c r="N259" s="416">
        <f t="shared" si="105"/>
        <v>0</v>
      </c>
      <c r="O259" s="1030">
        <f t="shared" si="105"/>
        <v>0</v>
      </c>
    </row>
    <row r="260" spans="1:17" ht="30.75" hidden="1" thickBot="1">
      <c r="A260" s="1662"/>
      <c r="B260" s="34" t="s">
        <v>457</v>
      </c>
      <c r="C260" s="92" t="s">
        <v>407</v>
      </c>
      <c r="D260" s="416"/>
      <c r="E260" s="479"/>
      <c r="F260" s="479"/>
      <c r="G260" s="479"/>
      <c r="H260" s="479"/>
      <c r="I260" s="479"/>
      <c r="J260" s="416"/>
      <c r="K260" s="416"/>
      <c r="L260" s="415"/>
      <c r="M260" s="1604"/>
      <c r="N260" s="416"/>
      <c r="O260" s="1030"/>
    </row>
    <row r="261" spans="1:17" ht="30.75" hidden="1" thickBot="1">
      <c r="A261" s="1662"/>
      <c r="B261" s="34" t="s">
        <v>290</v>
      </c>
      <c r="C261" s="92" t="s">
        <v>291</v>
      </c>
      <c r="D261" s="416"/>
      <c r="E261" s="479"/>
      <c r="F261" s="479"/>
      <c r="G261" s="479"/>
      <c r="H261" s="479"/>
      <c r="I261" s="479"/>
      <c r="J261" s="416"/>
      <c r="K261" s="416"/>
      <c r="L261" s="415"/>
      <c r="M261" s="1604"/>
      <c r="N261" s="416"/>
      <c r="O261" s="1030"/>
      <c r="Q261" s="423"/>
    </row>
    <row r="262" spans="1:17" ht="15.75" hidden="1" thickBot="1">
      <c r="A262" s="1662" t="s">
        <v>470</v>
      </c>
      <c r="B262" s="245"/>
      <c r="C262" s="92" t="s">
        <v>32</v>
      </c>
      <c r="D262" s="416">
        <f>(D263*D264*12)/1000</f>
        <v>3488.5653600000005</v>
      </c>
      <c r="E262" s="479">
        <f t="shared" ref="E262:J262" si="106">(E263*E264*12)/1000</f>
        <v>3658.4855999999995</v>
      </c>
      <c r="F262" s="479">
        <f t="shared" si="106"/>
        <v>4041.9002400000004</v>
      </c>
      <c r="G262" s="479">
        <f t="shared" si="106"/>
        <v>3956.8872000000001</v>
      </c>
      <c r="H262" s="479"/>
      <c r="I262" s="479"/>
      <c r="J262" s="416">
        <f t="shared" si="106"/>
        <v>4137.3360000000002</v>
      </c>
      <c r="K262" s="416">
        <f t="shared" ref="K262:O262" si="107">(K263*K264*12)/1000</f>
        <v>4315.2414479999998</v>
      </c>
      <c r="L262" s="415">
        <f t="shared" si="107"/>
        <v>4500.7968302639993</v>
      </c>
      <c r="M262" s="1604">
        <f t="shared" si="107"/>
        <v>0</v>
      </c>
      <c r="N262" s="416">
        <f t="shared" si="107"/>
        <v>0</v>
      </c>
      <c r="O262" s="1030">
        <f t="shared" si="107"/>
        <v>0</v>
      </c>
    </row>
    <row r="263" spans="1:17" ht="30.75" hidden="1" thickBot="1">
      <c r="A263" s="1662"/>
      <c r="B263" s="34" t="s">
        <v>457</v>
      </c>
      <c r="C263" s="92" t="s">
        <v>407</v>
      </c>
      <c r="D263" s="416">
        <v>14</v>
      </c>
      <c r="E263" s="479">
        <v>14</v>
      </c>
      <c r="F263" s="479">
        <f>E263</f>
        <v>14</v>
      </c>
      <c r="G263" s="479">
        <v>14</v>
      </c>
      <c r="H263" s="479"/>
      <c r="I263" s="479"/>
      <c r="J263" s="416">
        <v>14</v>
      </c>
      <c r="K263" s="416">
        <v>14</v>
      </c>
      <c r="L263" s="415">
        <v>14</v>
      </c>
      <c r="M263" s="1604"/>
      <c r="N263" s="416"/>
      <c r="O263" s="1030"/>
      <c r="Q263" s="423"/>
    </row>
    <row r="264" spans="1:17" ht="30.75" hidden="1" thickBot="1">
      <c r="A264" s="1664"/>
      <c r="B264" s="247" t="s">
        <v>290</v>
      </c>
      <c r="C264" s="93" t="s">
        <v>291</v>
      </c>
      <c r="D264" s="480">
        <v>20765.27</v>
      </c>
      <c r="E264" s="480">
        <v>21776.7</v>
      </c>
      <c r="F264" s="480">
        <v>24058.93</v>
      </c>
      <c r="G264" s="480">
        <v>23552.9</v>
      </c>
      <c r="H264" s="480"/>
      <c r="I264" s="480"/>
      <c r="J264" s="427">
        <v>24627</v>
      </c>
      <c r="K264" s="427">
        <f>J264*1.043</f>
        <v>25685.960999999999</v>
      </c>
      <c r="L264" s="460">
        <f>K264*1.043</f>
        <v>26790.457322999999</v>
      </c>
      <c r="M264" s="1611"/>
      <c r="N264" s="427"/>
      <c r="O264" s="1032"/>
    </row>
    <row r="265" spans="1:17" ht="29.25" customHeight="1" thickBot="1">
      <c r="A265" s="254"/>
      <c r="B265" s="261" t="s">
        <v>467</v>
      </c>
      <c r="C265" s="250" t="s">
        <v>32</v>
      </c>
      <c r="D265" s="482">
        <v>2008.45</v>
      </c>
      <c r="E265" s="482">
        <f t="shared" ref="E265:G265" si="108">E226+E259+E262</f>
        <v>3658.4855999999995</v>
      </c>
      <c r="F265" s="482">
        <f t="shared" si="108"/>
        <v>4041.9002400000004</v>
      </c>
      <c r="G265" s="482">
        <f t="shared" si="108"/>
        <v>3956.8872000000001</v>
      </c>
      <c r="H265" s="482">
        <f>H229+H232+H235+H238+H241</f>
        <v>2011.52</v>
      </c>
      <c r="I265" s="482">
        <f>I229+I232+I235+I238+I241</f>
        <v>3978.38</v>
      </c>
      <c r="J265" s="482">
        <f>J226+J259+J262</f>
        <v>4137.3360000000002</v>
      </c>
      <c r="K265" s="482">
        <f t="shared" ref="K265:O265" si="109">K226+K259+K262</f>
        <v>4315.2414479999998</v>
      </c>
      <c r="L265" s="1589">
        <f t="shared" si="109"/>
        <v>4500.7968302639993</v>
      </c>
      <c r="M265" s="493">
        <f>M229+M232+M235+M238+M241</f>
        <v>4147.6828057706398</v>
      </c>
      <c r="N265" s="482">
        <f t="shared" si="109"/>
        <v>0</v>
      </c>
      <c r="O265" s="1606">
        <f t="shared" si="109"/>
        <v>0</v>
      </c>
    </row>
    <row r="266" spans="1:17" ht="15.75" thickBot="1">
      <c r="A266" s="274"/>
      <c r="B266" s="275" t="s">
        <v>376</v>
      </c>
      <c r="C266" s="276" t="s">
        <v>280</v>
      </c>
      <c r="D266" s="495">
        <v>605.54999999999995</v>
      </c>
      <c r="E266" s="495">
        <v>30.2</v>
      </c>
      <c r="F266" s="496">
        <v>30.2</v>
      </c>
      <c r="G266" s="496">
        <v>30.2</v>
      </c>
      <c r="H266" s="496">
        <v>30.2</v>
      </c>
      <c r="I266" s="496">
        <v>30.2</v>
      </c>
      <c r="J266" s="495">
        <v>30.2</v>
      </c>
      <c r="K266" s="495">
        <v>30.2</v>
      </c>
      <c r="L266" s="1599">
        <v>30.2</v>
      </c>
      <c r="M266" s="1622">
        <v>0.30199999999999999</v>
      </c>
      <c r="N266" s="495"/>
      <c r="O266" s="1383"/>
    </row>
    <row r="267" spans="1:17" ht="15.75" thickBot="1">
      <c r="A267" s="254"/>
      <c r="B267" s="249" t="s">
        <v>459</v>
      </c>
      <c r="C267" s="272" t="s">
        <v>11</v>
      </c>
      <c r="D267" s="482">
        <v>572.5</v>
      </c>
      <c r="E267" s="482">
        <f t="shared" ref="E267:L267" si="110">E265*E266/100</f>
        <v>1104.8626511999998</v>
      </c>
      <c r="F267" s="482">
        <f t="shared" si="110"/>
        <v>1220.6538724800002</v>
      </c>
      <c r="G267" s="482">
        <f t="shared" si="110"/>
        <v>1194.9799344</v>
      </c>
      <c r="H267" s="482">
        <f t="shared" si="110"/>
        <v>607.47903999999994</v>
      </c>
      <c r="I267" s="482">
        <f t="shared" si="110"/>
        <v>1201.4707599999999</v>
      </c>
      <c r="J267" s="482">
        <f t="shared" si="110"/>
        <v>1249.4754720000001</v>
      </c>
      <c r="K267" s="482">
        <f t="shared" si="110"/>
        <v>1303.2029172959999</v>
      </c>
      <c r="L267" s="1589">
        <f t="shared" si="110"/>
        <v>1359.2406427397277</v>
      </c>
      <c r="M267" s="493">
        <f t="shared" ref="M267:O267" si="111">M265*M266</f>
        <v>1252.6002073427333</v>
      </c>
      <c r="N267" s="482">
        <f t="shared" si="111"/>
        <v>0</v>
      </c>
      <c r="O267" s="1606">
        <f t="shared" si="111"/>
        <v>0</v>
      </c>
    </row>
    <row r="268" spans="1:17" ht="16.5" customHeight="1" thickBot="1">
      <c r="A268" s="277"/>
      <c r="B268" s="278" t="s">
        <v>460</v>
      </c>
      <c r="C268" s="279"/>
      <c r="D268" s="497">
        <f>D257+D260+D263</f>
        <v>14</v>
      </c>
      <c r="E268" s="498">
        <f t="shared" ref="E268:J268" si="112">E257+E260+E263</f>
        <v>14</v>
      </c>
      <c r="F268" s="498">
        <f t="shared" si="112"/>
        <v>14</v>
      </c>
      <c r="G268" s="498">
        <f t="shared" si="112"/>
        <v>14</v>
      </c>
      <c r="H268" s="498">
        <f>H230+H233+H236+H239+H242</f>
        <v>14</v>
      </c>
      <c r="I268" s="498">
        <f>I230+I233+I236+I239+I242</f>
        <v>14</v>
      </c>
      <c r="J268" s="497">
        <f t="shared" si="112"/>
        <v>14</v>
      </c>
      <c r="K268" s="497">
        <f t="shared" ref="K268:O268" si="113">K257+K260+K263</f>
        <v>14</v>
      </c>
      <c r="L268" s="497">
        <f t="shared" si="113"/>
        <v>14</v>
      </c>
      <c r="M268" s="497">
        <f>M230+M233+M236+M239+M242</f>
        <v>14</v>
      </c>
      <c r="N268" s="497">
        <f t="shared" si="113"/>
        <v>0</v>
      </c>
      <c r="O268" s="1665">
        <f t="shared" si="113"/>
        <v>0</v>
      </c>
    </row>
    <row r="269" spans="1:17">
      <c r="F269"/>
      <c r="G269"/>
      <c r="H269"/>
      <c r="I269"/>
    </row>
    <row r="270" spans="1:17">
      <c r="F270" s="423"/>
      <c r="G270"/>
      <c r="H270"/>
      <c r="I270"/>
    </row>
    <row r="271" spans="1:17">
      <c r="F271"/>
      <c r="G271"/>
      <c r="H271"/>
      <c r="I271"/>
      <c r="P271" s="423"/>
    </row>
    <row r="272" spans="1:17">
      <c r="F272"/>
      <c r="G272"/>
      <c r="H272"/>
      <c r="I272"/>
    </row>
    <row r="273" spans="6:9">
      <c r="F273"/>
      <c r="G273"/>
      <c r="H273"/>
      <c r="I273"/>
    </row>
    <row r="274" spans="6:9">
      <c r="F274"/>
      <c r="G274"/>
      <c r="H274"/>
      <c r="I274"/>
    </row>
    <row r="275" spans="6:9">
      <c r="F275"/>
      <c r="G275"/>
      <c r="H275"/>
      <c r="I275"/>
    </row>
    <row r="276" spans="6:9">
      <c r="F276"/>
      <c r="G276"/>
      <c r="H276"/>
      <c r="I276"/>
    </row>
    <row r="277" spans="6:9">
      <c r="F277"/>
      <c r="G277"/>
      <c r="H277"/>
      <c r="I277"/>
    </row>
    <row r="278" spans="6:9">
      <c r="F278"/>
      <c r="G278"/>
      <c r="H278"/>
      <c r="I278"/>
    </row>
    <row r="279" spans="6:9">
      <c r="F279"/>
      <c r="G279"/>
      <c r="H279"/>
      <c r="I279"/>
    </row>
    <row r="280" spans="6:9">
      <c r="F280"/>
      <c r="G280"/>
      <c r="H280"/>
      <c r="I280"/>
    </row>
    <row r="281" spans="6:9">
      <c r="F281"/>
      <c r="G281"/>
      <c r="H281"/>
      <c r="I281"/>
    </row>
    <row r="282" spans="6:9">
      <c r="F282"/>
      <c r="G282"/>
      <c r="H282"/>
      <c r="I282"/>
    </row>
    <row r="283" spans="6:9">
      <c r="F283"/>
      <c r="G283"/>
      <c r="H283"/>
      <c r="I283"/>
    </row>
    <row r="284" spans="6:9">
      <c r="F284"/>
      <c r="G284"/>
      <c r="H284"/>
      <c r="I284"/>
    </row>
    <row r="285" spans="6:9">
      <c r="F285"/>
      <c r="G285"/>
      <c r="H285"/>
      <c r="I285"/>
    </row>
    <row r="286" spans="6:9">
      <c r="F286"/>
      <c r="G286"/>
      <c r="H286"/>
      <c r="I286"/>
    </row>
    <row r="287" spans="6:9">
      <c r="F287"/>
      <c r="G287"/>
      <c r="H287"/>
      <c r="I287"/>
    </row>
    <row r="288" spans="6:9">
      <c r="F288"/>
      <c r="G288"/>
      <c r="H288"/>
      <c r="I288"/>
    </row>
    <row r="289" spans="6:9">
      <c r="F289"/>
      <c r="G289"/>
      <c r="H289"/>
      <c r="I289"/>
    </row>
    <row r="290" spans="6:9">
      <c r="F290"/>
      <c r="G290"/>
      <c r="H290"/>
      <c r="I290"/>
    </row>
    <row r="291" spans="6:9">
      <c r="F291"/>
      <c r="G291"/>
      <c r="H291"/>
      <c r="I291"/>
    </row>
    <row r="292" spans="6:9">
      <c r="F292"/>
      <c r="G292"/>
      <c r="H292"/>
      <c r="I292"/>
    </row>
    <row r="293" spans="6:9">
      <c r="F293"/>
      <c r="G293"/>
      <c r="H293"/>
      <c r="I293"/>
    </row>
    <row r="294" spans="6:9">
      <c r="F294"/>
      <c r="G294"/>
      <c r="H294"/>
      <c r="I294"/>
    </row>
    <row r="295" spans="6:9">
      <c r="F295"/>
      <c r="G295"/>
      <c r="H295"/>
      <c r="I295"/>
    </row>
    <row r="296" spans="6:9">
      <c r="F296"/>
      <c r="G296"/>
      <c r="H296"/>
      <c r="I296"/>
    </row>
    <row r="297" spans="6:9">
      <c r="F297"/>
      <c r="G297"/>
      <c r="H297"/>
      <c r="I297"/>
    </row>
    <row r="298" spans="6:9">
      <c r="F298"/>
      <c r="G298"/>
      <c r="H298"/>
      <c r="I298"/>
    </row>
    <row r="299" spans="6:9">
      <c r="F299"/>
      <c r="G299"/>
      <c r="H299"/>
      <c r="I299"/>
    </row>
    <row r="300" spans="6:9">
      <c r="F300"/>
      <c r="G300"/>
      <c r="H300"/>
      <c r="I300"/>
    </row>
    <row r="301" spans="6:9">
      <c r="F301"/>
      <c r="G301"/>
      <c r="H301"/>
      <c r="I301"/>
    </row>
    <row r="302" spans="6:9">
      <c r="F302"/>
      <c r="G302"/>
      <c r="H302"/>
      <c r="I302"/>
    </row>
    <row r="303" spans="6:9">
      <c r="F303"/>
      <c r="G303"/>
      <c r="H303"/>
      <c r="I303"/>
    </row>
    <row r="304" spans="6:9">
      <c r="F304"/>
      <c r="G304"/>
      <c r="H304"/>
      <c r="I304"/>
    </row>
    <row r="305" spans="6:9">
      <c r="F305"/>
      <c r="G305"/>
      <c r="H305"/>
      <c r="I305"/>
    </row>
    <row r="306" spans="6:9">
      <c r="F306"/>
      <c r="G306"/>
      <c r="H306"/>
      <c r="I306"/>
    </row>
    <row r="307" spans="6:9">
      <c r="F307"/>
      <c r="G307"/>
      <c r="H307"/>
      <c r="I307"/>
    </row>
    <row r="308" spans="6:9">
      <c r="F308"/>
      <c r="G308"/>
      <c r="H308"/>
      <c r="I308"/>
    </row>
    <row r="309" spans="6:9">
      <c r="F309"/>
      <c r="G309"/>
      <c r="H309"/>
      <c r="I309"/>
    </row>
    <row r="310" spans="6:9">
      <c r="F310"/>
      <c r="G310"/>
      <c r="H310"/>
      <c r="I310"/>
    </row>
    <row r="311" spans="6:9">
      <c r="F311"/>
      <c r="G311"/>
      <c r="H311"/>
      <c r="I311"/>
    </row>
    <row r="312" spans="6:9">
      <c r="F312"/>
      <c r="G312"/>
      <c r="H312"/>
      <c r="I312"/>
    </row>
    <row r="313" spans="6:9">
      <c r="F313"/>
      <c r="G313"/>
      <c r="H313"/>
      <c r="I313"/>
    </row>
    <row r="314" spans="6:9">
      <c r="F314"/>
      <c r="G314"/>
      <c r="H314"/>
      <c r="I314"/>
    </row>
    <row r="315" spans="6:9">
      <c r="F315"/>
      <c r="G315"/>
      <c r="H315"/>
      <c r="I315"/>
    </row>
    <row r="316" spans="6:9">
      <c r="F316"/>
      <c r="G316"/>
      <c r="H316"/>
      <c r="I316"/>
    </row>
    <row r="317" spans="6:9">
      <c r="F317"/>
      <c r="G317"/>
      <c r="H317"/>
      <c r="I317"/>
    </row>
    <row r="318" spans="6:9">
      <c r="F318"/>
      <c r="G318"/>
      <c r="H318"/>
      <c r="I318"/>
    </row>
    <row r="319" spans="6:9">
      <c r="F319"/>
      <c r="G319"/>
      <c r="H319"/>
      <c r="I319"/>
    </row>
    <row r="320" spans="6:9">
      <c r="F320"/>
      <c r="G320"/>
      <c r="H320"/>
      <c r="I320"/>
    </row>
    <row r="321" spans="6:9">
      <c r="F321"/>
      <c r="G321"/>
      <c r="H321"/>
      <c r="I321"/>
    </row>
    <row r="322" spans="6:9">
      <c r="F322"/>
      <c r="G322"/>
      <c r="H322"/>
      <c r="I322"/>
    </row>
    <row r="323" spans="6:9">
      <c r="F323"/>
      <c r="G323"/>
      <c r="H323"/>
      <c r="I323"/>
    </row>
    <row r="324" spans="6:9">
      <c r="F324"/>
      <c r="G324"/>
      <c r="H324"/>
      <c r="I324"/>
    </row>
    <row r="325" spans="6:9">
      <c r="F325"/>
      <c r="G325"/>
      <c r="H325"/>
      <c r="I325"/>
    </row>
    <row r="326" spans="6:9">
      <c r="F326"/>
      <c r="G326"/>
      <c r="H326"/>
      <c r="I326"/>
    </row>
    <row r="327" spans="6:9">
      <c r="F327"/>
      <c r="G327"/>
      <c r="H327"/>
      <c r="I327"/>
    </row>
    <row r="328" spans="6:9">
      <c r="F328"/>
      <c r="G328"/>
      <c r="H328"/>
      <c r="I328"/>
    </row>
    <row r="329" spans="6:9">
      <c r="F329"/>
      <c r="G329"/>
      <c r="H329"/>
      <c r="I329"/>
    </row>
    <row r="330" spans="6:9">
      <c r="F330"/>
      <c r="G330"/>
      <c r="H330"/>
      <c r="I330"/>
    </row>
    <row r="331" spans="6:9">
      <c r="F331"/>
      <c r="G331"/>
      <c r="H331"/>
      <c r="I331"/>
    </row>
    <row r="332" spans="6:9">
      <c r="F332"/>
      <c r="G332"/>
      <c r="H332"/>
      <c r="I332"/>
    </row>
    <row r="333" spans="6:9">
      <c r="F333"/>
      <c r="G333"/>
      <c r="H333"/>
      <c r="I333"/>
    </row>
    <row r="334" spans="6:9">
      <c r="F334"/>
      <c r="G334"/>
      <c r="H334"/>
      <c r="I334"/>
    </row>
    <row r="335" spans="6:9">
      <c r="F335"/>
      <c r="G335"/>
      <c r="H335"/>
      <c r="I335"/>
    </row>
    <row r="336" spans="6:9">
      <c r="F336"/>
      <c r="G336"/>
      <c r="H336"/>
      <c r="I336"/>
    </row>
    <row r="337" spans="6:9">
      <c r="F337"/>
      <c r="G337"/>
      <c r="H337"/>
      <c r="I337"/>
    </row>
    <row r="338" spans="6:9">
      <c r="F338"/>
      <c r="G338"/>
      <c r="H338"/>
      <c r="I338"/>
    </row>
    <row r="339" spans="6:9">
      <c r="F339"/>
      <c r="G339"/>
      <c r="H339"/>
      <c r="I339"/>
    </row>
    <row r="340" spans="6:9">
      <c r="F340"/>
      <c r="G340"/>
      <c r="H340"/>
      <c r="I340"/>
    </row>
    <row r="341" spans="6:9">
      <c r="F341"/>
      <c r="G341"/>
      <c r="H341"/>
      <c r="I341"/>
    </row>
    <row r="342" spans="6:9">
      <c r="F342"/>
      <c r="G342"/>
      <c r="H342"/>
      <c r="I342"/>
    </row>
    <row r="343" spans="6:9">
      <c r="F343"/>
      <c r="G343"/>
      <c r="H343"/>
      <c r="I343"/>
    </row>
    <row r="344" spans="6:9">
      <c r="F344"/>
      <c r="G344"/>
      <c r="H344"/>
      <c r="I344"/>
    </row>
    <row r="345" spans="6:9">
      <c r="F345"/>
      <c r="G345"/>
      <c r="H345"/>
      <c r="I345"/>
    </row>
    <row r="346" spans="6:9">
      <c r="F346"/>
      <c r="G346"/>
      <c r="H346"/>
      <c r="I346"/>
    </row>
    <row r="347" spans="6:9">
      <c r="F347"/>
      <c r="G347"/>
      <c r="H347"/>
      <c r="I347"/>
    </row>
    <row r="348" spans="6:9">
      <c r="F348"/>
      <c r="G348"/>
      <c r="H348"/>
      <c r="I348"/>
    </row>
    <row r="349" spans="6:9">
      <c r="F349"/>
      <c r="G349"/>
      <c r="H349"/>
      <c r="I349"/>
    </row>
    <row r="350" spans="6:9">
      <c r="F350"/>
      <c r="G350"/>
      <c r="H350"/>
      <c r="I350"/>
    </row>
    <row r="351" spans="6:9">
      <c r="F351"/>
      <c r="G351"/>
      <c r="H351"/>
      <c r="I351"/>
    </row>
    <row r="352" spans="6:9">
      <c r="F352"/>
      <c r="G352"/>
      <c r="H352"/>
      <c r="I352"/>
    </row>
    <row r="353" spans="6:9">
      <c r="F353"/>
      <c r="G353"/>
      <c r="H353"/>
      <c r="I353"/>
    </row>
    <row r="354" spans="6:9">
      <c r="F354"/>
      <c r="G354"/>
      <c r="H354"/>
      <c r="I354"/>
    </row>
    <row r="355" spans="6:9">
      <c r="F355"/>
      <c r="G355"/>
      <c r="H355"/>
      <c r="I355"/>
    </row>
    <row r="356" spans="6:9">
      <c r="F356"/>
      <c r="G356"/>
      <c r="H356"/>
      <c r="I356"/>
    </row>
    <row r="357" spans="6:9">
      <c r="F357"/>
      <c r="G357"/>
      <c r="H357"/>
      <c r="I357"/>
    </row>
    <row r="358" spans="6:9">
      <c r="F358"/>
      <c r="G358"/>
      <c r="H358"/>
      <c r="I358"/>
    </row>
    <row r="359" spans="6:9">
      <c r="F359"/>
      <c r="G359"/>
      <c r="H359"/>
      <c r="I359"/>
    </row>
    <row r="360" spans="6:9">
      <c r="F360"/>
      <c r="G360"/>
      <c r="H360"/>
      <c r="I360"/>
    </row>
    <row r="361" spans="6:9">
      <c r="F361"/>
      <c r="G361"/>
      <c r="H361"/>
      <c r="I361"/>
    </row>
    <row r="362" spans="6:9">
      <c r="F362"/>
      <c r="G362"/>
      <c r="H362"/>
      <c r="I362"/>
    </row>
    <row r="363" spans="6:9">
      <c r="F363"/>
      <c r="G363"/>
      <c r="H363"/>
      <c r="I363"/>
    </row>
    <row r="364" spans="6:9">
      <c r="F364"/>
      <c r="G364"/>
      <c r="H364"/>
      <c r="I364"/>
    </row>
    <row r="365" spans="6:9">
      <c r="F365"/>
      <c r="G365"/>
      <c r="H365"/>
      <c r="I365"/>
    </row>
    <row r="366" spans="6:9">
      <c r="F366"/>
      <c r="G366"/>
      <c r="H366"/>
      <c r="I366"/>
    </row>
    <row r="367" spans="6:9">
      <c r="F367"/>
      <c r="G367"/>
      <c r="H367"/>
      <c r="I367"/>
    </row>
    <row r="368" spans="6:9">
      <c r="F368"/>
      <c r="G368"/>
      <c r="H368"/>
      <c r="I368"/>
    </row>
    <row r="369" spans="6:9">
      <c r="F369"/>
      <c r="G369"/>
      <c r="H369"/>
      <c r="I369"/>
    </row>
    <row r="370" spans="6:9">
      <c r="F370"/>
      <c r="G370"/>
      <c r="H370"/>
      <c r="I370"/>
    </row>
    <row r="371" spans="6:9">
      <c r="F371"/>
      <c r="G371"/>
      <c r="H371"/>
      <c r="I371"/>
    </row>
    <row r="372" spans="6:9">
      <c r="F372"/>
      <c r="G372"/>
      <c r="H372"/>
      <c r="I372"/>
    </row>
    <row r="373" spans="6:9">
      <c r="F373"/>
      <c r="G373"/>
      <c r="H373"/>
      <c r="I373"/>
    </row>
    <row r="374" spans="6:9">
      <c r="F374"/>
      <c r="G374"/>
      <c r="H374"/>
      <c r="I374"/>
    </row>
    <row r="375" spans="6:9">
      <c r="F375"/>
      <c r="G375"/>
      <c r="H375"/>
      <c r="I375"/>
    </row>
    <row r="376" spans="6:9">
      <c r="F376"/>
      <c r="G376"/>
      <c r="H376"/>
      <c r="I376"/>
    </row>
    <row r="377" spans="6:9">
      <c r="F377"/>
      <c r="G377"/>
      <c r="H377"/>
      <c r="I377"/>
    </row>
    <row r="378" spans="6:9">
      <c r="F378"/>
      <c r="G378"/>
      <c r="H378"/>
      <c r="I378"/>
    </row>
    <row r="379" spans="6:9">
      <c r="F379"/>
      <c r="G379"/>
      <c r="H379"/>
      <c r="I379"/>
    </row>
    <row r="380" spans="6:9">
      <c r="F380"/>
      <c r="G380"/>
      <c r="H380"/>
      <c r="I380"/>
    </row>
    <row r="381" spans="6:9">
      <c r="F381"/>
      <c r="G381"/>
      <c r="H381"/>
      <c r="I381"/>
    </row>
    <row r="382" spans="6:9">
      <c r="F382"/>
      <c r="G382"/>
      <c r="H382"/>
      <c r="I382"/>
    </row>
    <row r="383" spans="6:9">
      <c r="F383"/>
      <c r="G383"/>
      <c r="H383"/>
      <c r="I383"/>
    </row>
    <row r="384" spans="6:9">
      <c r="F384"/>
      <c r="G384"/>
      <c r="H384"/>
      <c r="I384"/>
    </row>
    <row r="385" spans="6:9">
      <c r="F385"/>
      <c r="G385"/>
      <c r="H385"/>
      <c r="I385"/>
    </row>
    <row r="386" spans="6:9">
      <c r="F386"/>
      <c r="G386"/>
      <c r="H386"/>
      <c r="I386"/>
    </row>
    <row r="387" spans="6:9">
      <c r="F387"/>
      <c r="G387"/>
      <c r="H387"/>
      <c r="I387"/>
    </row>
    <row r="388" spans="6:9">
      <c r="F388"/>
      <c r="G388"/>
      <c r="H388"/>
      <c r="I388"/>
    </row>
    <row r="389" spans="6:9">
      <c r="F389"/>
      <c r="G389"/>
      <c r="H389"/>
      <c r="I389"/>
    </row>
    <row r="390" spans="6:9">
      <c r="F390"/>
      <c r="G390"/>
      <c r="H390"/>
      <c r="I390"/>
    </row>
    <row r="391" spans="6:9">
      <c r="F391"/>
      <c r="G391"/>
      <c r="H391"/>
      <c r="I391"/>
    </row>
    <row r="392" spans="6:9">
      <c r="F392"/>
      <c r="G392"/>
      <c r="H392"/>
      <c r="I392"/>
    </row>
    <row r="393" spans="6:9">
      <c r="F393"/>
      <c r="G393"/>
      <c r="H393"/>
      <c r="I393"/>
    </row>
    <row r="394" spans="6:9">
      <c r="F394"/>
      <c r="G394"/>
      <c r="H394"/>
      <c r="I394"/>
    </row>
    <row r="395" spans="6:9">
      <c r="F395"/>
      <c r="G395"/>
      <c r="H395"/>
      <c r="I395"/>
    </row>
    <row r="396" spans="6:9">
      <c r="F396"/>
      <c r="G396"/>
      <c r="H396"/>
      <c r="I396"/>
    </row>
    <row r="397" spans="6:9">
      <c r="F397"/>
      <c r="G397"/>
      <c r="H397"/>
      <c r="I397"/>
    </row>
    <row r="398" spans="6:9">
      <c r="F398"/>
      <c r="G398"/>
      <c r="H398"/>
      <c r="I398"/>
    </row>
    <row r="399" spans="6:9">
      <c r="F399"/>
      <c r="G399"/>
      <c r="H399"/>
      <c r="I399"/>
    </row>
    <row r="400" spans="6:9">
      <c r="F400"/>
      <c r="G400"/>
      <c r="H400"/>
      <c r="I400"/>
    </row>
    <row r="401" spans="6:9">
      <c r="F401"/>
      <c r="G401"/>
      <c r="H401"/>
      <c r="I401"/>
    </row>
    <row r="402" spans="6:9">
      <c r="F402"/>
      <c r="G402"/>
      <c r="H402"/>
      <c r="I402"/>
    </row>
    <row r="403" spans="6:9">
      <c r="F403"/>
      <c r="G403"/>
      <c r="H403"/>
      <c r="I403"/>
    </row>
    <row r="404" spans="6:9">
      <c r="F404"/>
      <c r="G404"/>
      <c r="H404"/>
      <c r="I404"/>
    </row>
    <row r="405" spans="6:9">
      <c r="F405"/>
      <c r="G405"/>
      <c r="H405"/>
      <c r="I405"/>
    </row>
    <row r="406" spans="6:9">
      <c r="F406"/>
      <c r="G406"/>
      <c r="H406"/>
      <c r="I406"/>
    </row>
    <row r="407" spans="6:9">
      <c r="F407"/>
      <c r="G407"/>
      <c r="H407"/>
      <c r="I407"/>
    </row>
    <row r="408" spans="6:9">
      <c r="F408"/>
      <c r="G408"/>
      <c r="H408"/>
      <c r="I408"/>
    </row>
    <row r="409" spans="6:9">
      <c r="F409"/>
      <c r="G409"/>
      <c r="H409"/>
      <c r="I409"/>
    </row>
    <row r="410" spans="6:9">
      <c r="F410"/>
      <c r="G410"/>
      <c r="H410"/>
      <c r="I410"/>
    </row>
    <row r="411" spans="6:9">
      <c r="F411"/>
      <c r="G411"/>
      <c r="H411"/>
      <c r="I411"/>
    </row>
    <row r="412" spans="6:9">
      <c r="F412"/>
      <c r="G412"/>
      <c r="H412"/>
      <c r="I412"/>
    </row>
    <row r="413" spans="6:9">
      <c r="F413"/>
      <c r="G413"/>
      <c r="H413"/>
      <c r="I413"/>
    </row>
    <row r="414" spans="6:9">
      <c r="F414"/>
      <c r="G414"/>
      <c r="H414"/>
      <c r="I414"/>
    </row>
    <row r="415" spans="6:9">
      <c r="F415"/>
      <c r="G415"/>
      <c r="H415"/>
      <c r="I415"/>
    </row>
    <row r="416" spans="6:9">
      <c r="F416"/>
      <c r="G416"/>
      <c r="H416"/>
      <c r="I416"/>
    </row>
    <row r="417" spans="6:9">
      <c r="F417"/>
      <c r="G417"/>
      <c r="H417"/>
      <c r="I417"/>
    </row>
    <row r="418" spans="6:9">
      <c r="F418"/>
      <c r="G418"/>
      <c r="H418"/>
      <c r="I418"/>
    </row>
    <row r="419" spans="6:9">
      <c r="F419"/>
      <c r="G419"/>
      <c r="H419"/>
      <c r="I419"/>
    </row>
    <row r="420" spans="6:9">
      <c r="F420"/>
      <c r="G420"/>
      <c r="H420"/>
      <c r="I420"/>
    </row>
    <row r="421" spans="6:9">
      <c r="F421"/>
      <c r="G421"/>
      <c r="H421"/>
      <c r="I421"/>
    </row>
    <row r="422" spans="6:9">
      <c r="F422"/>
      <c r="G422"/>
      <c r="H422"/>
      <c r="I422"/>
    </row>
    <row r="423" spans="6:9">
      <c r="F423"/>
      <c r="G423"/>
      <c r="H423"/>
      <c r="I423"/>
    </row>
    <row r="424" spans="6:9">
      <c r="F424"/>
      <c r="G424"/>
      <c r="H424"/>
      <c r="I424"/>
    </row>
    <row r="425" spans="6:9">
      <c r="F425"/>
      <c r="G425"/>
      <c r="H425"/>
      <c r="I425"/>
    </row>
    <row r="426" spans="6:9">
      <c r="F426"/>
      <c r="G426"/>
      <c r="H426"/>
      <c r="I426"/>
    </row>
    <row r="427" spans="6:9">
      <c r="F427"/>
      <c r="G427"/>
      <c r="H427"/>
      <c r="I427"/>
    </row>
    <row r="428" spans="6:9">
      <c r="F428"/>
      <c r="G428"/>
      <c r="H428"/>
      <c r="I428"/>
    </row>
    <row r="429" spans="6:9">
      <c r="F429"/>
      <c r="G429"/>
      <c r="H429"/>
      <c r="I429"/>
    </row>
    <row r="430" spans="6:9">
      <c r="F430"/>
      <c r="G430"/>
      <c r="H430"/>
      <c r="I430"/>
    </row>
    <row r="431" spans="6:9">
      <c r="F431"/>
      <c r="G431"/>
      <c r="H431"/>
      <c r="I431"/>
    </row>
    <row r="432" spans="6:9">
      <c r="F432"/>
      <c r="G432"/>
      <c r="H432"/>
      <c r="I432"/>
    </row>
    <row r="433" spans="6:9">
      <c r="F433"/>
      <c r="G433"/>
      <c r="H433"/>
      <c r="I433"/>
    </row>
    <row r="434" spans="6:9">
      <c r="F434"/>
      <c r="G434"/>
      <c r="H434"/>
      <c r="I434"/>
    </row>
    <row r="435" spans="6:9">
      <c r="F435"/>
      <c r="G435"/>
      <c r="H435"/>
      <c r="I435"/>
    </row>
    <row r="436" spans="6:9">
      <c r="F436"/>
      <c r="G436"/>
      <c r="H436"/>
      <c r="I436"/>
    </row>
    <row r="437" spans="6:9">
      <c r="F437"/>
      <c r="G437"/>
      <c r="H437"/>
      <c r="I437"/>
    </row>
    <row r="438" spans="6:9">
      <c r="F438"/>
      <c r="G438"/>
      <c r="H438"/>
      <c r="I438"/>
    </row>
    <row r="439" spans="6:9">
      <c r="F439"/>
      <c r="G439"/>
      <c r="H439"/>
      <c r="I439"/>
    </row>
    <row r="440" spans="6:9">
      <c r="F440"/>
      <c r="G440"/>
      <c r="H440"/>
      <c r="I440"/>
    </row>
    <row r="441" spans="6:9">
      <c r="F441"/>
      <c r="G441"/>
      <c r="H441"/>
      <c r="I441"/>
    </row>
    <row r="442" spans="6:9">
      <c r="F442"/>
      <c r="G442"/>
      <c r="H442"/>
      <c r="I442"/>
    </row>
    <row r="443" spans="6:9">
      <c r="F443"/>
      <c r="G443"/>
      <c r="H443"/>
      <c r="I443"/>
    </row>
    <row r="444" spans="6:9">
      <c r="F444"/>
      <c r="G444"/>
      <c r="H444"/>
      <c r="I444"/>
    </row>
    <row r="445" spans="6:9">
      <c r="F445"/>
      <c r="G445"/>
      <c r="H445"/>
      <c r="I445"/>
    </row>
    <row r="446" spans="6:9">
      <c r="F446"/>
      <c r="G446"/>
      <c r="H446"/>
      <c r="I446"/>
    </row>
    <row r="447" spans="6:9">
      <c r="F447"/>
      <c r="G447"/>
      <c r="H447"/>
      <c r="I447"/>
    </row>
    <row r="448" spans="6:9">
      <c r="F448"/>
      <c r="G448"/>
      <c r="H448"/>
      <c r="I448"/>
    </row>
    <row r="449" spans="6:9">
      <c r="F449"/>
      <c r="G449"/>
      <c r="H449"/>
      <c r="I449"/>
    </row>
    <row r="450" spans="6:9">
      <c r="F450"/>
      <c r="G450"/>
      <c r="H450"/>
      <c r="I450"/>
    </row>
    <row r="451" spans="6:9">
      <c r="F451"/>
      <c r="G451"/>
      <c r="H451"/>
      <c r="I451"/>
    </row>
    <row r="452" spans="6:9">
      <c r="F452"/>
      <c r="G452"/>
      <c r="H452"/>
      <c r="I452"/>
    </row>
    <row r="453" spans="6:9">
      <c r="F453"/>
      <c r="G453"/>
      <c r="H453"/>
      <c r="I453"/>
    </row>
    <row r="454" spans="6:9">
      <c r="F454"/>
      <c r="G454"/>
      <c r="H454"/>
      <c r="I454"/>
    </row>
    <row r="455" spans="6:9">
      <c r="F455"/>
      <c r="G455"/>
      <c r="H455"/>
      <c r="I455"/>
    </row>
    <row r="456" spans="6:9">
      <c r="F456"/>
      <c r="G456"/>
      <c r="H456"/>
      <c r="I456"/>
    </row>
    <row r="457" spans="6:9">
      <c r="F457"/>
      <c r="G457"/>
      <c r="H457"/>
      <c r="I457"/>
    </row>
    <row r="458" spans="6:9">
      <c r="F458"/>
      <c r="G458"/>
      <c r="H458"/>
      <c r="I458"/>
    </row>
    <row r="459" spans="6:9">
      <c r="F459"/>
      <c r="G459"/>
      <c r="H459"/>
      <c r="I459"/>
    </row>
    <row r="460" spans="6:9">
      <c r="F460"/>
      <c r="G460"/>
      <c r="H460"/>
      <c r="I460"/>
    </row>
    <row r="461" spans="6:9">
      <c r="F461"/>
      <c r="G461"/>
      <c r="H461"/>
      <c r="I461"/>
    </row>
    <row r="462" spans="6:9">
      <c r="F462"/>
      <c r="G462"/>
      <c r="H462"/>
      <c r="I462"/>
    </row>
    <row r="463" spans="6:9">
      <c r="F463"/>
      <c r="G463"/>
      <c r="H463"/>
      <c r="I463"/>
    </row>
    <row r="464" spans="6:9">
      <c r="F464"/>
      <c r="G464"/>
      <c r="H464"/>
      <c r="I464"/>
    </row>
    <row r="465" spans="6:9">
      <c r="F465"/>
      <c r="G465"/>
      <c r="H465"/>
      <c r="I465"/>
    </row>
    <row r="466" spans="6:9">
      <c r="F466"/>
      <c r="G466"/>
      <c r="H466"/>
      <c r="I466"/>
    </row>
    <row r="467" spans="6:9">
      <c r="F467"/>
      <c r="G467"/>
      <c r="H467"/>
      <c r="I467"/>
    </row>
    <row r="468" spans="6:9">
      <c r="F468"/>
      <c r="G468"/>
      <c r="H468"/>
      <c r="I468"/>
    </row>
    <row r="469" spans="6:9">
      <c r="F469"/>
      <c r="G469"/>
      <c r="H469"/>
      <c r="I469"/>
    </row>
    <row r="470" spans="6:9">
      <c r="F470"/>
      <c r="G470"/>
      <c r="H470"/>
      <c r="I470"/>
    </row>
    <row r="471" spans="6:9">
      <c r="F471"/>
      <c r="G471"/>
      <c r="H471"/>
      <c r="I471"/>
    </row>
    <row r="472" spans="6:9">
      <c r="F472"/>
      <c r="G472"/>
      <c r="H472"/>
      <c r="I472"/>
    </row>
    <row r="473" spans="6:9">
      <c r="F473"/>
      <c r="G473"/>
      <c r="H473"/>
      <c r="I473"/>
    </row>
    <row r="474" spans="6:9">
      <c r="F474"/>
      <c r="G474"/>
      <c r="H474"/>
      <c r="I474"/>
    </row>
    <row r="475" spans="6:9">
      <c r="F475"/>
      <c r="G475"/>
      <c r="H475"/>
      <c r="I475"/>
    </row>
    <row r="476" spans="6:9">
      <c r="F476"/>
      <c r="G476"/>
      <c r="H476"/>
      <c r="I476"/>
    </row>
    <row r="477" spans="6:9">
      <c r="F477"/>
      <c r="G477"/>
      <c r="H477"/>
      <c r="I477"/>
    </row>
    <row r="478" spans="6:9">
      <c r="F478"/>
      <c r="G478"/>
      <c r="H478"/>
      <c r="I478"/>
    </row>
    <row r="479" spans="6:9">
      <c r="F479"/>
      <c r="G479"/>
      <c r="H479"/>
      <c r="I479"/>
    </row>
    <row r="480" spans="6:9">
      <c r="F480"/>
      <c r="G480"/>
      <c r="H480"/>
      <c r="I480"/>
    </row>
    <row r="481" spans="6:9">
      <c r="F481"/>
      <c r="G481"/>
      <c r="H481"/>
      <c r="I481"/>
    </row>
    <row r="482" spans="6:9">
      <c r="F482"/>
      <c r="G482"/>
      <c r="H482"/>
      <c r="I482"/>
    </row>
    <row r="483" spans="6:9">
      <c r="F483"/>
      <c r="G483"/>
      <c r="H483"/>
      <c r="I483"/>
    </row>
    <row r="484" spans="6:9">
      <c r="F484"/>
      <c r="G484"/>
      <c r="H484"/>
      <c r="I484"/>
    </row>
    <row r="485" spans="6:9">
      <c r="F485"/>
      <c r="G485"/>
      <c r="H485"/>
      <c r="I485"/>
    </row>
    <row r="486" spans="6:9">
      <c r="F486"/>
      <c r="G486"/>
      <c r="H486"/>
      <c r="I486"/>
    </row>
    <row r="487" spans="6:9">
      <c r="F487"/>
      <c r="G487"/>
      <c r="H487"/>
      <c r="I487"/>
    </row>
    <row r="488" spans="6:9">
      <c r="F488"/>
      <c r="G488"/>
      <c r="H488"/>
      <c r="I488"/>
    </row>
    <row r="489" spans="6:9">
      <c r="F489"/>
      <c r="G489"/>
      <c r="H489"/>
      <c r="I489"/>
    </row>
    <row r="490" spans="6:9">
      <c r="F490"/>
      <c r="G490"/>
      <c r="H490"/>
      <c r="I490"/>
    </row>
    <row r="491" spans="6:9">
      <c r="F491"/>
      <c r="G491"/>
      <c r="H491"/>
      <c r="I491"/>
    </row>
    <row r="492" spans="6:9">
      <c r="F492"/>
      <c r="G492"/>
      <c r="H492"/>
      <c r="I492"/>
    </row>
    <row r="493" spans="6:9">
      <c r="F493"/>
      <c r="G493"/>
      <c r="H493"/>
      <c r="I493"/>
    </row>
    <row r="494" spans="6:9">
      <c r="F494"/>
      <c r="G494"/>
      <c r="H494"/>
      <c r="I494"/>
    </row>
    <row r="495" spans="6:9">
      <c r="F495"/>
      <c r="G495"/>
      <c r="H495"/>
      <c r="I495"/>
    </row>
    <row r="496" spans="6:9">
      <c r="F496"/>
      <c r="G496"/>
      <c r="H496"/>
      <c r="I496"/>
    </row>
    <row r="497" spans="6:9">
      <c r="F497"/>
      <c r="G497"/>
      <c r="H497"/>
      <c r="I497"/>
    </row>
    <row r="498" spans="6:9">
      <c r="F498"/>
      <c r="G498"/>
      <c r="H498"/>
      <c r="I498"/>
    </row>
    <row r="499" spans="6:9">
      <c r="F499"/>
      <c r="G499"/>
      <c r="H499"/>
      <c r="I499"/>
    </row>
    <row r="500" spans="6:9">
      <c r="F500"/>
      <c r="G500"/>
      <c r="H500"/>
      <c r="I500"/>
    </row>
    <row r="501" spans="6:9">
      <c r="F501"/>
      <c r="G501"/>
      <c r="H501"/>
      <c r="I501"/>
    </row>
    <row r="502" spans="6:9">
      <c r="F502"/>
      <c r="G502"/>
      <c r="H502"/>
      <c r="I502"/>
    </row>
    <row r="503" spans="6:9">
      <c r="F503"/>
      <c r="G503"/>
      <c r="H503"/>
      <c r="I503"/>
    </row>
    <row r="504" spans="6:9">
      <c r="F504"/>
      <c r="G504"/>
      <c r="H504"/>
      <c r="I504"/>
    </row>
    <row r="505" spans="6:9">
      <c r="F505"/>
      <c r="G505"/>
      <c r="H505"/>
      <c r="I505"/>
    </row>
    <row r="506" spans="6:9">
      <c r="F506"/>
      <c r="G506"/>
      <c r="H506"/>
      <c r="I506"/>
    </row>
    <row r="507" spans="6:9">
      <c r="F507"/>
      <c r="G507"/>
      <c r="H507"/>
      <c r="I507"/>
    </row>
    <row r="508" spans="6:9">
      <c r="F508"/>
      <c r="G508"/>
      <c r="H508"/>
      <c r="I508"/>
    </row>
    <row r="509" spans="6:9">
      <c r="F509"/>
      <c r="G509"/>
      <c r="H509"/>
      <c r="I509"/>
    </row>
    <row r="510" spans="6:9">
      <c r="F510"/>
      <c r="G510"/>
      <c r="H510"/>
      <c r="I510"/>
    </row>
    <row r="511" spans="6:9">
      <c r="F511"/>
      <c r="G511"/>
      <c r="H511"/>
      <c r="I511"/>
    </row>
    <row r="512" spans="6:9">
      <c r="F512"/>
      <c r="G512"/>
      <c r="H512"/>
      <c r="I512"/>
    </row>
    <row r="513" spans="6:9">
      <c r="F513"/>
      <c r="G513"/>
      <c r="H513"/>
      <c r="I513"/>
    </row>
    <row r="514" spans="6:9">
      <c r="F514"/>
      <c r="G514"/>
      <c r="H514"/>
      <c r="I514"/>
    </row>
    <row r="515" spans="6:9">
      <c r="F515"/>
      <c r="G515"/>
      <c r="H515"/>
      <c r="I515"/>
    </row>
    <row r="516" spans="6:9">
      <c r="F516"/>
      <c r="G516"/>
      <c r="H516"/>
      <c r="I516"/>
    </row>
    <row r="517" spans="6:9">
      <c r="F517"/>
      <c r="G517"/>
      <c r="H517"/>
      <c r="I517"/>
    </row>
    <row r="518" spans="6:9">
      <c r="F518"/>
      <c r="G518"/>
      <c r="H518"/>
      <c r="I518"/>
    </row>
    <row r="519" spans="6:9">
      <c r="F519"/>
      <c r="G519"/>
      <c r="H519"/>
      <c r="I519"/>
    </row>
    <row r="520" spans="6:9">
      <c r="F520"/>
      <c r="G520"/>
      <c r="H520"/>
      <c r="I520"/>
    </row>
    <row r="521" spans="6:9">
      <c r="F521"/>
      <c r="G521"/>
      <c r="H521"/>
      <c r="I521"/>
    </row>
    <row r="522" spans="6:9">
      <c r="F522"/>
      <c r="G522"/>
      <c r="H522"/>
      <c r="I522"/>
    </row>
    <row r="523" spans="6:9">
      <c r="F523"/>
      <c r="G523"/>
      <c r="H523"/>
      <c r="I523"/>
    </row>
    <row r="524" spans="6:9">
      <c r="F524"/>
      <c r="G524"/>
      <c r="H524"/>
      <c r="I524"/>
    </row>
    <row r="525" spans="6:9">
      <c r="F525"/>
      <c r="G525"/>
      <c r="H525"/>
      <c r="I525"/>
    </row>
    <row r="526" spans="6:9">
      <c r="F526"/>
      <c r="G526"/>
      <c r="H526"/>
      <c r="I526"/>
    </row>
    <row r="527" spans="6:9">
      <c r="F527"/>
      <c r="G527"/>
      <c r="H527"/>
      <c r="I527"/>
    </row>
    <row r="528" spans="6:9">
      <c r="F528"/>
      <c r="G528"/>
      <c r="H528"/>
      <c r="I528"/>
    </row>
    <row r="529" spans="6:9">
      <c r="F529"/>
      <c r="G529"/>
      <c r="H529"/>
      <c r="I529"/>
    </row>
    <row r="530" spans="6:9">
      <c r="F530"/>
      <c r="G530"/>
      <c r="H530"/>
      <c r="I530"/>
    </row>
    <row r="531" spans="6:9">
      <c r="F531"/>
      <c r="G531"/>
      <c r="H531"/>
      <c r="I531"/>
    </row>
    <row r="532" spans="6:9">
      <c r="F532"/>
      <c r="G532"/>
      <c r="H532"/>
      <c r="I532"/>
    </row>
    <row r="533" spans="6:9">
      <c r="F533"/>
      <c r="G533"/>
      <c r="H533"/>
      <c r="I533"/>
    </row>
    <row r="534" spans="6:9">
      <c r="F534"/>
      <c r="G534"/>
      <c r="H534"/>
      <c r="I534"/>
    </row>
    <row r="535" spans="6:9">
      <c r="F535"/>
      <c r="G535"/>
      <c r="H535"/>
      <c r="I535"/>
    </row>
    <row r="536" spans="6:9">
      <c r="F536"/>
      <c r="G536"/>
      <c r="H536"/>
      <c r="I536"/>
    </row>
    <row r="537" spans="6:9">
      <c r="F537"/>
      <c r="G537"/>
      <c r="H537"/>
      <c r="I537"/>
    </row>
    <row r="538" spans="6:9">
      <c r="F538"/>
      <c r="G538"/>
      <c r="H538"/>
      <c r="I538"/>
    </row>
    <row r="539" spans="6:9">
      <c r="F539"/>
      <c r="G539"/>
      <c r="H539"/>
      <c r="I539"/>
    </row>
    <row r="540" spans="6:9">
      <c r="F540"/>
      <c r="G540"/>
      <c r="H540"/>
      <c r="I540"/>
    </row>
    <row r="541" spans="6:9">
      <c r="F541"/>
      <c r="G541"/>
      <c r="H541"/>
      <c r="I541"/>
    </row>
    <row r="542" spans="6:9">
      <c r="F542"/>
      <c r="G542"/>
      <c r="H542"/>
      <c r="I542"/>
    </row>
    <row r="543" spans="6:9">
      <c r="F543"/>
      <c r="G543"/>
      <c r="H543"/>
      <c r="I543"/>
    </row>
    <row r="544" spans="6:9">
      <c r="F544"/>
      <c r="G544"/>
      <c r="H544"/>
      <c r="I544"/>
    </row>
    <row r="545" spans="6:9">
      <c r="F545"/>
      <c r="G545"/>
      <c r="H545"/>
      <c r="I545"/>
    </row>
    <row r="546" spans="6:9">
      <c r="F546"/>
      <c r="G546"/>
      <c r="H546"/>
      <c r="I546"/>
    </row>
    <row r="547" spans="6:9">
      <c r="F547"/>
      <c r="G547"/>
      <c r="H547"/>
      <c r="I547"/>
    </row>
    <row r="548" spans="6:9">
      <c r="F548"/>
      <c r="G548"/>
      <c r="H548"/>
      <c r="I548"/>
    </row>
    <row r="549" spans="6:9">
      <c r="F549"/>
      <c r="G549"/>
      <c r="H549"/>
      <c r="I549"/>
    </row>
    <row r="550" spans="6:9">
      <c r="F550"/>
      <c r="G550"/>
      <c r="H550"/>
      <c r="I550"/>
    </row>
    <row r="551" spans="6:9">
      <c r="F551"/>
      <c r="G551"/>
      <c r="H551"/>
      <c r="I551"/>
    </row>
    <row r="552" spans="6:9">
      <c r="F552"/>
      <c r="G552"/>
      <c r="H552"/>
      <c r="I552"/>
    </row>
    <row r="553" spans="6:9">
      <c r="F553"/>
      <c r="G553"/>
      <c r="H553"/>
      <c r="I553"/>
    </row>
    <row r="554" spans="6:9">
      <c r="F554"/>
      <c r="G554"/>
      <c r="H554"/>
      <c r="I554"/>
    </row>
    <row r="555" spans="6:9">
      <c r="F555"/>
      <c r="G555"/>
      <c r="H555"/>
      <c r="I555"/>
    </row>
    <row r="556" spans="6:9">
      <c r="F556"/>
      <c r="G556"/>
      <c r="H556"/>
      <c r="I556"/>
    </row>
    <row r="557" spans="6:9">
      <c r="F557"/>
      <c r="G557"/>
      <c r="H557"/>
      <c r="I557"/>
    </row>
    <row r="558" spans="6:9">
      <c r="F558"/>
      <c r="G558"/>
      <c r="H558"/>
      <c r="I558"/>
    </row>
    <row r="559" spans="6:9">
      <c r="F559"/>
      <c r="G559"/>
      <c r="H559"/>
      <c r="I559"/>
    </row>
    <row r="560" spans="6:9">
      <c r="F560"/>
      <c r="G560"/>
      <c r="H560"/>
      <c r="I560"/>
    </row>
    <row r="561" spans="6:9">
      <c r="F561"/>
      <c r="G561"/>
      <c r="H561"/>
      <c r="I561"/>
    </row>
    <row r="562" spans="6:9">
      <c r="F562"/>
      <c r="G562"/>
      <c r="H562"/>
      <c r="I562"/>
    </row>
    <row r="563" spans="6:9">
      <c r="F563"/>
      <c r="G563"/>
      <c r="H563"/>
      <c r="I563"/>
    </row>
    <row r="564" spans="6:9">
      <c r="F564"/>
      <c r="G564"/>
      <c r="H564"/>
      <c r="I564"/>
    </row>
    <row r="565" spans="6:9">
      <c r="F565"/>
      <c r="G565"/>
      <c r="H565"/>
      <c r="I565"/>
    </row>
    <row r="566" spans="6:9">
      <c r="F566"/>
      <c r="G566"/>
      <c r="H566"/>
      <c r="I566"/>
    </row>
    <row r="567" spans="6:9">
      <c r="F567"/>
      <c r="G567"/>
      <c r="H567"/>
      <c r="I567"/>
    </row>
    <row r="568" spans="6:9">
      <c r="F568"/>
      <c r="G568"/>
      <c r="H568"/>
      <c r="I568"/>
    </row>
    <row r="569" spans="6:9">
      <c r="F569"/>
      <c r="G569"/>
      <c r="H569"/>
      <c r="I569"/>
    </row>
    <row r="570" spans="6:9">
      <c r="F570"/>
      <c r="G570"/>
      <c r="H570"/>
      <c r="I570"/>
    </row>
    <row r="571" spans="6:9">
      <c r="F571"/>
      <c r="G571"/>
      <c r="H571"/>
      <c r="I571"/>
    </row>
    <row r="572" spans="6:9">
      <c r="F572"/>
      <c r="G572"/>
      <c r="H572"/>
      <c r="I572"/>
    </row>
    <row r="573" spans="6:9">
      <c r="F573"/>
      <c r="G573"/>
      <c r="H573"/>
      <c r="I573"/>
    </row>
    <row r="574" spans="6:9">
      <c r="F574"/>
      <c r="G574"/>
      <c r="H574"/>
      <c r="I574"/>
    </row>
    <row r="575" spans="6:9">
      <c r="F575"/>
      <c r="G575"/>
      <c r="H575"/>
      <c r="I575"/>
    </row>
    <row r="576" spans="6:9">
      <c r="F576"/>
      <c r="G576"/>
      <c r="H576"/>
      <c r="I576"/>
    </row>
    <row r="577" spans="6:9">
      <c r="F577"/>
      <c r="G577"/>
      <c r="H577"/>
      <c r="I577"/>
    </row>
    <row r="578" spans="6:9">
      <c r="F578"/>
      <c r="G578"/>
      <c r="H578"/>
      <c r="I578"/>
    </row>
    <row r="579" spans="6:9">
      <c r="F579"/>
      <c r="G579"/>
      <c r="H579"/>
      <c r="I579"/>
    </row>
    <row r="580" spans="6:9">
      <c r="F580"/>
      <c r="G580"/>
      <c r="H580"/>
      <c r="I580"/>
    </row>
    <row r="581" spans="6:9">
      <c r="F581"/>
      <c r="G581"/>
      <c r="H581"/>
      <c r="I581"/>
    </row>
    <row r="582" spans="6:9">
      <c r="F582"/>
      <c r="G582"/>
      <c r="H582"/>
      <c r="I582"/>
    </row>
    <row r="583" spans="6:9">
      <c r="F583"/>
      <c r="G583"/>
      <c r="H583"/>
      <c r="I583"/>
    </row>
    <row r="584" spans="6:9">
      <c r="F584"/>
      <c r="G584"/>
      <c r="H584"/>
      <c r="I584"/>
    </row>
    <row r="585" spans="6:9">
      <c r="F585"/>
      <c r="G585"/>
      <c r="H585"/>
      <c r="I585"/>
    </row>
    <row r="586" spans="6:9">
      <c r="F586"/>
      <c r="G586"/>
      <c r="H586"/>
      <c r="I586"/>
    </row>
    <row r="587" spans="6:9">
      <c r="F587"/>
      <c r="G587"/>
      <c r="H587"/>
      <c r="I587"/>
    </row>
    <row r="588" spans="6:9">
      <c r="F588"/>
      <c r="G588"/>
      <c r="H588"/>
      <c r="I588"/>
    </row>
    <row r="589" spans="6:9">
      <c r="F589"/>
      <c r="G589"/>
      <c r="H589"/>
      <c r="I589"/>
    </row>
    <row r="590" spans="6:9">
      <c r="F590"/>
      <c r="G590"/>
      <c r="H590"/>
      <c r="I590"/>
    </row>
    <row r="591" spans="6:9">
      <c r="F591"/>
      <c r="G591"/>
      <c r="H591"/>
      <c r="I591"/>
    </row>
    <row r="592" spans="6:9">
      <c r="F592"/>
      <c r="G592"/>
      <c r="H592"/>
      <c r="I592"/>
    </row>
    <row r="593" spans="6:9">
      <c r="F593"/>
      <c r="G593"/>
      <c r="H593"/>
      <c r="I593"/>
    </row>
    <row r="594" spans="6:9">
      <c r="F594"/>
      <c r="G594"/>
      <c r="H594"/>
      <c r="I594"/>
    </row>
    <row r="595" spans="6:9">
      <c r="F595"/>
      <c r="G595"/>
      <c r="H595"/>
      <c r="I595"/>
    </row>
    <row r="596" spans="6:9">
      <c r="F596"/>
      <c r="G596"/>
      <c r="H596"/>
      <c r="I596"/>
    </row>
    <row r="597" spans="6:9">
      <c r="F597"/>
      <c r="G597"/>
      <c r="H597"/>
      <c r="I597"/>
    </row>
    <row r="598" spans="6:9">
      <c r="F598"/>
      <c r="G598"/>
      <c r="H598"/>
      <c r="I598"/>
    </row>
    <row r="599" spans="6:9">
      <c r="F599"/>
      <c r="G599"/>
      <c r="H599"/>
      <c r="I599"/>
    </row>
    <row r="600" spans="6:9">
      <c r="F600"/>
      <c r="G600"/>
      <c r="H600"/>
      <c r="I600"/>
    </row>
    <row r="601" spans="6:9">
      <c r="F601"/>
      <c r="G601"/>
      <c r="H601"/>
      <c r="I601"/>
    </row>
    <row r="602" spans="6:9">
      <c r="F602"/>
      <c r="G602"/>
      <c r="H602"/>
      <c r="I602"/>
    </row>
    <row r="603" spans="6:9">
      <c r="F603"/>
      <c r="G603"/>
      <c r="H603"/>
      <c r="I603"/>
    </row>
    <row r="604" spans="6:9">
      <c r="F604"/>
      <c r="G604"/>
      <c r="H604"/>
      <c r="I604"/>
    </row>
    <row r="605" spans="6:9">
      <c r="F605"/>
      <c r="G605"/>
      <c r="H605"/>
      <c r="I605"/>
    </row>
    <row r="606" spans="6:9">
      <c r="F606"/>
      <c r="G606"/>
      <c r="H606"/>
      <c r="I606"/>
    </row>
    <row r="607" spans="6:9">
      <c r="F607"/>
      <c r="G607"/>
      <c r="H607"/>
      <c r="I607"/>
    </row>
    <row r="608" spans="6:9">
      <c r="F608"/>
      <c r="G608"/>
      <c r="H608"/>
      <c r="I608"/>
    </row>
    <row r="609" spans="6:9">
      <c r="F609"/>
      <c r="G609"/>
      <c r="H609"/>
      <c r="I609"/>
    </row>
    <row r="610" spans="6:9">
      <c r="F610"/>
      <c r="G610"/>
      <c r="H610"/>
      <c r="I610"/>
    </row>
    <row r="611" spans="6:9">
      <c r="F611"/>
      <c r="G611"/>
      <c r="H611"/>
      <c r="I611"/>
    </row>
    <row r="612" spans="6:9">
      <c r="F612"/>
      <c r="G612"/>
      <c r="H612"/>
      <c r="I612"/>
    </row>
    <row r="613" spans="6:9">
      <c r="F613"/>
      <c r="G613"/>
      <c r="H613"/>
      <c r="I613"/>
    </row>
    <row r="614" spans="6:9">
      <c r="F614"/>
      <c r="G614"/>
      <c r="H614"/>
      <c r="I614"/>
    </row>
    <row r="615" spans="6:9">
      <c r="F615"/>
      <c r="G615"/>
      <c r="H615"/>
      <c r="I615"/>
    </row>
    <row r="616" spans="6:9">
      <c r="F616"/>
      <c r="G616"/>
      <c r="H616"/>
      <c r="I616"/>
    </row>
    <row r="617" spans="6:9">
      <c r="F617"/>
      <c r="G617"/>
      <c r="H617"/>
      <c r="I617"/>
    </row>
    <row r="618" spans="6:9">
      <c r="F618"/>
      <c r="G618"/>
      <c r="H618"/>
      <c r="I618"/>
    </row>
    <row r="619" spans="6:9">
      <c r="F619"/>
      <c r="G619"/>
      <c r="H619"/>
      <c r="I619"/>
    </row>
    <row r="620" spans="6:9">
      <c r="F620"/>
      <c r="G620"/>
      <c r="H620"/>
      <c r="I620"/>
    </row>
    <row r="621" spans="6:9">
      <c r="F621"/>
      <c r="G621"/>
      <c r="H621"/>
      <c r="I621"/>
    </row>
    <row r="622" spans="6:9">
      <c r="F622"/>
      <c r="G622"/>
      <c r="H622"/>
      <c r="I622"/>
    </row>
    <row r="623" spans="6:9">
      <c r="F623"/>
      <c r="G623"/>
      <c r="H623"/>
      <c r="I623"/>
    </row>
    <row r="624" spans="6:9">
      <c r="F624"/>
      <c r="G624"/>
      <c r="H624"/>
      <c r="I624"/>
    </row>
    <row r="625" spans="6:9">
      <c r="F625"/>
      <c r="G625"/>
      <c r="H625"/>
      <c r="I625"/>
    </row>
    <row r="626" spans="6:9">
      <c r="F626"/>
      <c r="G626"/>
      <c r="H626"/>
      <c r="I626"/>
    </row>
    <row r="627" spans="6:9">
      <c r="F627"/>
      <c r="G627"/>
      <c r="H627"/>
      <c r="I627"/>
    </row>
    <row r="628" spans="6:9">
      <c r="F628"/>
      <c r="G628"/>
      <c r="H628"/>
      <c r="I628"/>
    </row>
    <row r="629" spans="6:9">
      <c r="F629"/>
      <c r="G629"/>
      <c r="H629"/>
      <c r="I629"/>
    </row>
    <row r="630" spans="6:9">
      <c r="F630"/>
      <c r="G630"/>
      <c r="H630"/>
      <c r="I630"/>
    </row>
    <row r="631" spans="6:9">
      <c r="F631"/>
      <c r="G631"/>
      <c r="H631"/>
      <c r="I631"/>
    </row>
    <row r="632" spans="6:9">
      <c r="F632"/>
      <c r="G632"/>
      <c r="H632"/>
      <c r="I632"/>
    </row>
    <row r="633" spans="6:9">
      <c r="F633"/>
      <c r="G633"/>
      <c r="H633"/>
      <c r="I633"/>
    </row>
    <row r="634" spans="6:9">
      <c r="F634"/>
      <c r="G634"/>
      <c r="H634"/>
      <c r="I634"/>
    </row>
    <row r="635" spans="6:9">
      <c r="F635"/>
      <c r="G635"/>
      <c r="H635"/>
      <c r="I635"/>
    </row>
    <row r="636" spans="6:9">
      <c r="F636"/>
      <c r="G636"/>
      <c r="H636"/>
      <c r="I636"/>
    </row>
    <row r="637" spans="6:9">
      <c r="F637"/>
      <c r="G637"/>
      <c r="H637"/>
      <c r="I637"/>
    </row>
    <row r="638" spans="6:9">
      <c r="F638"/>
      <c r="G638"/>
      <c r="H638"/>
      <c r="I638"/>
    </row>
    <row r="639" spans="6:9">
      <c r="F639"/>
      <c r="G639"/>
      <c r="H639"/>
      <c r="I639"/>
    </row>
    <row r="640" spans="6:9">
      <c r="F640"/>
      <c r="G640"/>
      <c r="H640"/>
      <c r="I640"/>
    </row>
    <row r="641" spans="6:9">
      <c r="F641"/>
      <c r="G641"/>
      <c r="H641"/>
      <c r="I641"/>
    </row>
    <row r="642" spans="6:9">
      <c r="F642"/>
      <c r="G642"/>
      <c r="H642"/>
      <c r="I642"/>
    </row>
    <row r="643" spans="6:9">
      <c r="F643"/>
      <c r="G643"/>
      <c r="H643"/>
      <c r="I643"/>
    </row>
    <row r="644" spans="6:9">
      <c r="F644"/>
      <c r="G644"/>
      <c r="H644"/>
      <c r="I644"/>
    </row>
    <row r="645" spans="6:9">
      <c r="F645"/>
      <c r="G645"/>
      <c r="H645"/>
      <c r="I645"/>
    </row>
    <row r="646" spans="6:9">
      <c r="F646"/>
      <c r="G646"/>
      <c r="H646"/>
      <c r="I646"/>
    </row>
    <row r="647" spans="6:9">
      <c r="F647"/>
      <c r="G647"/>
      <c r="H647"/>
      <c r="I647"/>
    </row>
    <row r="648" spans="6:9">
      <c r="F648"/>
      <c r="G648"/>
      <c r="H648"/>
      <c r="I648"/>
    </row>
    <row r="649" spans="6:9">
      <c r="F649"/>
      <c r="G649"/>
      <c r="H649"/>
      <c r="I649"/>
    </row>
    <row r="650" spans="6:9">
      <c r="F650"/>
      <c r="G650"/>
      <c r="H650"/>
      <c r="I650"/>
    </row>
    <row r="651" spans="6:9">
      <c r="F651"/>
      <c r="G651"/>
      <c r="H651"/>
      <c r="I651"/>
    </row>
    <row r="652" spans="6:9">
      <c r="F652"/>
      <c r="G652"/>
      <c r="H652"/>
      <c r="I652"/>
    </row>
    <row r="653" spans="6:9">
      <c r="F653"/>
      <c r="G653"/>
      <c r="H653"/>
      <c r="I653"/>
    </row>
    <row r="654" spans="6:9">
      <c r="F654"/>
      <c r="G654"/>
      <c r="H654"/>
      <c r="I654"/>
    </row>
    <row r="655" spans="6:9">
      <c r="F655"/>
      <c r="G655"/>
      <c r="H655"/>
      <c r="I655"/>
    </row>
    <row r="656" spans="6:9">
      <c r="F656"/>
      <c r="G656"/>
      <c r="H656"/>
      <c r="I656"/>
    </row>
    <row r="657" spans="6:9">
      <c r="F657"/>
      <c r="G657"/>
      <c r="H657"/>
      <c r="I657"/>
    </row>
    <row r="658" spans="6:9">
      <c r="F658"/>
      <c r="G658"/>
      <c r="H658"/>
      <c r="I658"/>
    </row>
    <row r="659" spans="6:9">
      <c r="F659"/>
      <c r="G659"/>
      <c r="H659"/>
      <c r="I659"/>
    </row>
    <row r="660" spans="6:9">
      <c r="F660"/>
      <c r="G660"/>
      <c r="H660"/>
      <c r="I660"/>
    </row>
    <row r="661" spans="6:9">
      <c r="F661"/>
      <c r="G661"/>
      <c r="H661"/>
      <c r="I661"/>
    </row>
    <row r="662" spans="6:9">
      <c r="F662"/>
      <c r="G662"/>
      <c r="H662"/>
      <c r="I662"/>
    </row>
    <row r="663" spans="6:9">
      <c r="F663"/>
      <c r="G663"/>
      <c r="H663"/>
      <c r="I663"/>
    </row>
    <row r="664" spans="6:9">
      <c r="F664"/>
      <c r="G664"/>
      <c r="H664"/>
      <c r="I664"/>
    </row>
    <row r="665" spans="6:9">
      <c r="F665"/>
      <c r="G665"/>
      <c r="H665"/>
      <c r="I665"/>
    </row>
    <row r="666" spans="6:9">
      <c r="F666"/>
      <c r="G666"/>
      <c r="H666"/>
      <c r="I666"/>
    </row>
    <row r="667" spans="6:9">
      <c r="F667"/>
      <c r="G667"/>
      <c r="H667"/>
      <c r="I667"/>
    </row>
    <row r="668" spans="6:9">
      <c r="F668"/>
      <c r="G668"/>
      <c r="H668"/>
      <c r="I668"/>
    </row>
    <row r="669" spans="6:9">
      <c r="F669"/>
      <c r="G669"/>
      <c r="H669"/>
      <c r="I669"/>
    </row>
    <row r="670" spans="6:9">
      <c r="F670"/>
      <c r="G670"/>
      <c r="H670"/>
      <c r="I670"/>
    </row>
    <row r="671" spans="6:9">
      <c r="F671"/>
      <c r="G671"/>
      <c r="H671"/>
      <c r="I671"/>
    </row>
    <row r="672" spans="6:9">
      <c r="F672"/>
      <c r="G672"/>
      <c r="H672"/>
      <c r="I672"/>
    </row>
    <row r="673" spans="6:9">
      <c r="F673"/>
      <c r="G673"/>
      <c r="H673"/>
      <c r="I673"/>
    </row>
    <row r="674" spans="6:9">
      <c r="F674"/>
      <c r="G674"/>
      <c r="H674"/>
      <c r="I674"/>
    </row>
    <row r="675" spans="6:9">
      <c r="F675"/>
      <c r="G675"/>
      <c r="H675"/>
      <c r="I675"/>
    </row>
    <row r="676" spans="6:9">
      <c r="F676"/>
      <c r="G676"/>
      <c r="H676"/>
      <c r="I676"/>
    </row>
    <row r="677" spans="6:9">
      <c r="F677"/>
      <c r="G677"/>
      <c r="H677"/>
      <c r="I677"/>
    </row>
    <row r="678" spans="6:9">
      <c r="F678"/>
      <c r="G678"/>
      <c r="H678"/>
      <c r="I678"/>
    </row>
    <row r="679" spans="6:9">
      <c r="F679"/>
      <c r="G679"/>
      <c r="H679"/>
      <c r="I679"/>
    </row>
    <row r="680" spans="6:9">
      <c r="F680"/>
      <c r="G680"/>
      <c r="H680"/>
      <c r="I680"/>
    </row>
    <row r="681" spans="6:9">
      <c r="F681"/>
      <c r="G681"/>
      <c r="H681"/>
      <c r="I681"/>
    </row>
    <row r="682" spans="6:9">
      <c r="F682"/>
      <c r="G682"/>
      <c r="H682"/>
      <c r="I682"/>
    </row>
    <row r="683" spans="6:9">
      <c r="F683"/>
      <c r="G683"/>
      <c r="H683"/>
      <c r="I683"/>
    </row>
    <row r="684" spans="6:9">
      <c r="F684"/>
      <c r="G684"/>
      <c r="H684"/>
      <c r="I684"/>
    </row>
    <row r="685" spans="6:9">
      <c r="F685"/>
      <c r="G685"/>
      <c r="H685"/>
      <c r="I685"/>
    </row>
    <row r="686" spans="6:9">
      <c r="F686"/>
      <c r="G686"/>
      <c r="H686"/>
      <c r="I686"/>
    </row>
    <row r="687" spans="6:9">
      <c r="F687"/>
      <c r="G687"/>
      <c r="H687"/>
      <c r="I687"/>
    </row>
    <row r="688" spans="6:9">
      <c r="F688"/>
      <c r="G688"/>
      <c r="H688"/>
      <c r="I688"/>
    </row>
    <row r="689" spans="6:9">
      <c r="F689"/>
      <c r="G689"/>
      <c r="H689"/>
      <c r="I689"/>
    </row>
    <row r="690" spans="6:9">
      <c r="F690"/>
      <c r="G690"/>
      <c r="H690"/>
      <c r="I690"/>
    </row>
    <row r="691" spans="6:9">
      <c r="F691"/>
      <c r="G691"/>
      <c r="H691"/>
      <c r="I691"/>
    </row>
    <row r="692" spans="6:9">
      <c r="F692"/>
      <c r="G692"/>
      <c r="H692"/>
      <c r="I692"/>
    </row>
    <row r="693" spans="6:9">
      <c r="F693"/>
      <c r="G693"/>
      <c r="H693"/>
      <c r="I693"/>
    </row>
    <row r="694" spans="6:9">
      <c r="F694"/>
      <c r="G694"/>
      <c r="H694"/>
      <c r="I694"/>
    </row>
    <row r="695" spans="6:9">
      <c r="F695"/>
      <c r="G695"/>
      <c r="H695"/>
      <c r="I695"/>
    </row>
    <row r="696" spans="6:9">
      <c r="F696"/>
      <c r="G696"/>
      <c r="H696"/>
      <c r="I696"/>
    </row>
    <row r="697" spans="6:9">
      <c r="F697"/>
      <c r="G697"/>
      <c r="H697"/>
      <c r="I697"/>
    </row>
    <row r="698" spans="6:9">
      <c r="F698"/>
      <c r="G698"/>
      <c r="H698"/>
      <c r="I698"/>
    </row>
    <row r="699" spans="6:9">
      <c r="F699"/>
      <c r="G699"/>
      <c r="H699"/>
      <c r="I699"/>
    </row>
    <row r="700" spans="6:9">
      <c r="F700"/>
      <c r="G700"/>
      <c r="H700"/>
      <c r="I700"/>
    </row>
    <row r="701" spans="6:9">
      <c r="F701"/>
      <c r="G701"/>
      <c r="H701"/>
      <c r="I701"/>
    </row>
    <row r="702" spans="6:9">
      <c r="F702"/>
      <c r="G702"/>
      <c r="H702"/>
      <c r="I702"/>
    </row>
    <row r="703" spans="6:9">
      <c r="F703"/>
      <c r="G703"/>
      <c r="H703"/>
      <c r="I703"/>
    </row>
    <row r="704" spans="6:9">
      <c r="F704"/>
      <c r="G704"/>
      <c r="H704"/>
      <c r="I704"/>
    </row>
    <row r="705" spans="6:9">
      <c r="F705"/>
      <c r="G705"/>
      <c r="H705"/>
      <c r="I705"/>
    </row>
    <row r="706" spans="6:9">
      <c r="F706"/>
      <c r="G706"/>
      <c r="H706"/>
      <c r="I706"/>
    </row>
    <row r="707" spans="6:9">
      <c r="F707"/>
      <c r="G707"/>
      <c r="H707"/>
      <c r="I707"/>
    </row>
    <row r="708" spans="6:9">
      <c r="F708"/>
      <c r="G708"/>
      <c r="H708"/>
      <c r="I708"/>
    </row>
    <row r="709" spans="6:9">
      <c r="F709"/>
      <c r="G709"/>
      <c r="H709"/>
      <c r="I709"/>
    </row>
    <row r="710" spans="6:9">
      <c r="F710"/>
      <c r="G710"/>
      <c r="H710"/>
      <c r="I710"/>
    </row>
    <row r="711" spans="6:9">
      <c r="F711"/>
      <c r="G711"/>
      <c r="H711"/>
      <c r="I711"/>
    </row>
    <row r="712" spans="6:9">
      <c r="F712"/>
      <c r="G712"/>
      <c r="H712"/>
      <c r="I712"/>
    </row>
    <row r="713" spans="6:9">
      <c r="F713"/>
      <c r="G713"/>
      <c r="H713"/>
      <c r="I713"/>
    </row>
    <row r="714" spans="6:9">
      <c r="F714"/>
      <c r="G714"/>
      <c r="H714"/>
      <c r="I714"/>
    </row>
    <row r="715" spans="6:9">
      <c r="F715"/>
      <c r="G715"/>
      <c r="H715"/>
      <c r="I715"/>
    </row>
    <row r="716" spans="6:9">
      <c r="F716"/>
      <c r="G716"/>
      <c r="H716"/>
      <c r="I716"/>
    </row>
    <row r="717" spans="6:9">
      <c r="F717"/>
      <c r="G717"/>
      <c r="H717"/>
      <c r="I717"/>
    </row>
    <row r="718" spans="6:9">
      <c r="F718"/>
      <c r="G718"/>
      <c r="H718"/>
      <c r="I718"/>
    </row>
    <row r="719" spans="6:9">
      <c r="F719"/>
      <c r="G719"/>
      <c r="H719"/>
      <c r="I719"/>
    </row>
    <row r="720" spans="6:9">
      <c r="F720"/>
      <c r="G720"/>
      <c r="H720"/>
      <c r="I720"/>
    </row>
    <row r="721" spans="6:9">
      <c r="F721"/>
      <c r="G721"/>
      <c r="H721"/>
      <c r="I721"/>
    </row>
    <row r="722" spans="6:9">
      <c r="F722"/>
      <c r="G722"/>
      <c r="H722"/>
      <c r="I722"/>
    </row>
    <row r="723" spans="6:9">
      <c r="F723"/>
      <c r="G723"/>
      <c r="H723"/>
      <c r="I723"/>
    </row>
    <row r="724" spans="6:9">
      <c r="F724"/>
      <c r="G724"/>
      <c r="H724"/>
      <c r="I724"/>
    </row>
    <row r="725" spans="6:9">
      <c r="F725"/>
      <c r="G725"/>
      <c r="H725"/>
      <c r="I725"/>
    </row>
    <row r="726" spans="6:9">
      <c r="F726"/>
      <c r="G726"/>
      <c r="H726"/>
      <c r="I726"/>
    </row>
    <row r="727" spans="6:9">
      <c r="F727"/>
      <c r="G727"/>
      <c r="H727"/>
      <c r="I727"/>
    </row>
    <row r="728" spans="6:9">
      <c r="F728"/>
      <c r="G728"/>
      <c r="H728"/>
      <c r="I728"/>
    </row>
    <row r="729" spans="6:9">
      <c r="F729"/>
      <c r="G729"/>
      <c r="H729"/>
      <c r="I729"/>
    </row>
    <row r="730" spans="6:9">
      <c r="F730"/>
      <c r="G730"/>
      <c r="H730"/>
      <c r="I730"/>
    </row>
    <row r="731" spans="6:9">
      <c r="F731"/>
      <c r="G731"/>
      <c r="H731"/>
      <c r="I731"/>
    </row>
    <row r="732" spans="6:9">
      <c r="F732"/>
      <c r="G732"/>
      <c r="H732"/>
      <c r="I732"/>
    </row>
    <row r="733" spans="6:9">
      <c r="F733"/>
      <c r="G733"/>
      <c r="H733"/>
      <c r="I733"/>
    </row>
    <row r="734" spans="6:9">
      <c r="F734"/>
      <c r="G734"/>
      <c r="H734"/>
      <c r="I734"/>
    </row>
    <row r="735" spans="6:9">
      <c r="F735"/>
      <c r="G735"/>
      <c r="H735"/>
      <c r="I735"/>
    </row>
    <row r="736" spans="6:9">
      <c r="F736"/>
      <c r="G736"/>
      <c r="H736"/>
      <c r="I736"/>
    </row>
    <row r="737" spans="6:9">
      <c r="F737"/>
      <c r="G737"/>
      <c r="H737"/>
      <c r="I737"/>
    </row>
    <row r="738" spans="6:9">
      <c r="F738"/>
      <c r="G738"/>
      <c r="H738"/>
      <c r="I738"/>
    </row>
    <row r="739" spans="6:9">
      <c r="F739"/>
      <c r="G739"/>
      <c r="H739"/>
      <c r="I739"/>
    </row>
    <row r="740" spans="6:9">
      <c r="F740"/>
      <c r="G740"/>
      <c r="H740"/>
      <c r="I740"/>
    </row>
    <row r="741" spans="6:9">
      <c r="F741"/>
      <c r="G741"/>
      <c r="H741"/>
      <c r="I741"/>
    </row>
    <row r="742" spans="6:9">
      <c r="F742"/>
      <c r="G742"/>
      <c r="H742"/>
      <c r="I742"/>
    </row>
    <row r="743" spans="6:9">
      <c r="F743"/>
      <c r="G743"/>
      <c r="H743"/>
      <c r="I743"/>
    </row>
    <row r="744" spans="6:9">
      <c r="F744"/>
      <c r="G744"/>
      <c r="H744"/>
      <c r="I744"/>
    </row>
    <row r="745" spans="6:9">
      <c r="F745"/>
      <c r="G745"/>
      <c r="H745"/>
      <c r="I745"/>
    </row>
    <row r="746" spans="6:9">
      <c r="F746"/>
      <c r="G746"/>
      <c r="H746"/>
      <c r="I746"/>
    </row>
    <row r="747" spans="6:9">
      <c r="F747"/>
      <c r="G747"/>
      <c r="H747"/>
      <c r="I747"/>
    </row>
    <row r="748" spans="6:9">
      <c r="F748"/>
      <c r="G748"/>
      <c r="H748"/>
      <c r="I748"/>
    </row>
    <row r="749" spans="6:9">
      <c r="F749"/>
      <c r="G749"/>
      <c r="H749"/>
      <c r="I749"/>
    </row>
    <row r="750" spans="6:9">
      <c r="F750"/>
      <c r="G750"/>
      <c r="H750"/>
      <c r="I750"/>
    </row>
    <row r="751" spans="6:9">
      <c r="F751"/>
      <c r="G751"/>
      <c r="H751"/>
      <c r="I751"/>
    </row>
    <row r="752" spans="6:9">
      <c r="F752"/>
      <c r="G752"/>
      <c r="H752"/>
      <c r="I752"/>
    </row>
    <row r="753" spans="6:9">
      <c r="F753"/>
      <c r="G753"/>
      <c r="H753"/>
      <c r="I753"/>
    </row>
    <row r="754" spans="6:9">
      <c r="F754"/>
      <c r="G754"/>
      <c r="H754"/>
      <c r="I754"/>
    </row>
    <row r="755" spans="6:9">
      <c r="F755"/>
      <c r="G755"/>
      <c r="H755"/>
      <c r="I755"/>
    </row>
    <row r="756" spans="6:9">
      <c r="F756"/>
      <c r="G756"/>
      <c r="H756"/>
      <c r="I756"/>
    </row>
    <row r="757" spans="6:9">
      <c r="F757"/>
      <c r="G757"/>
      <c r="H757"/>
      <c r="I757"/>
    </row>
    <row r="758" spans="6:9">
      <c r="F758"/>
      <c r="G758"/>
      <c r="H758"/>
      <c r="I758"/>
    </row>
    <row r="759" spans="6:9">
      <c r="F759"/>
      <c r="G759"/>
      <c r="H759"/>
      <c r="I759"/>
    </row>
    <row r="760" spans="6:9">
      <c r="F760"/>
      <c r="G760"/>
      <c r="H760"/>
      <c r="I760"/>
    </row>
    <row r="761" spans="6:9">
      <c r="F761"/>
      <c r="G761"/>
      <c r="H761"/>
      <c r="I761"/>
    </row>
    <row r="762" spans="6:9">
      <c r="F762"/>
      <c r="G762"/>
      <c r="H762"/>
      <c r="I762"/>
    </row>
    <row r="763" spans="6:9">
      <c r="F763"/>
      <c r="G763"/>
      <c r="H763"/>
      <c r="I763"/>
    </row>
    <row r="764" spans="6:9">
      <c r="F764"/>
      <c r="G764"/>
      <c r="H764"/>
      <c r="I764"/>
    </row>
    <row r="765" spans="6:9">
      <c r="F765"/>
      <c r="G765"/>
      <c r="H765"/>
      <c r="I765"/>
    </row>
    <row r="766" spans="6:9">
      <c r="F766"/>
      <c r="G766"/>
      <c r="H766"/>
      <c r="I766"/>
    </row>
    <row r="767" spans="6:9">
      <c r="F767"/>
      <c r="G767"/>
      <c r="H767"/>
      <c r="I767"/>
    </row>
    <row r="768" spans="6:9">
      <c r="F768"/>
      <c r="G768"/>
      <c r="H768"/>
      <c r="I768"/>
    </row>
    <row r="769" spans="6:9">
      <c r="F769"/>
      <c r="G769"/>
      <c r="H769"/>
      <c r="I769"/>
    </row>
    <row r="770" spans="6:9">
      <c r="F770"/>
      <c r="G770"/>
      <c r="H770"/>
      <c r="I770"/>
    </row>
    <row r="771" spans="6:9">
      <c r="F771"/>
      <c r="G771"/>
      <c r="H771"/>
      <c r="I771"/>
    </row>
    <row r="772" spans="6:9">
      <c r="F772"/>
      <c r="G772"/>
      <c r="H772"/>
      <c r="I772"/>
    </row>
    <row r="773" spans="6:9">
      <c r="F773"/>
      <c r="G773"/>
      <c r="H773"/>
      <c r="I773"/>
    </row>
    <row r="774" spans="6:9">
      <c r="F774"/>
      <c r="G774"/>
      <c r="H774"/>
      <c r="I774"/>
    </row>
    <row r="775" spans="6:9">
      <c r="F775"/>
      <c r="G775"/>
      <c r="H775"/>
      <c r="I775"/>
    </row>
    <row r="776" spans="6:9">
      <c r="F776"/>
      <c r="G776"/>
      <c r="H776"/>
      <c r="I776"/>
    </row>
    <row r="777" spans="6:9">
      <c r="F777"/>
      <c r="G777"/>
      <c r="H777"/>
      <c r="I777"/>
    </row>
    <row r="778" spans="6:9">
      <c r="F778"/>
      <c r="G778"/>
      <c r="H778"/>
      <c r="I778"/>
    </row>
    <row r="779" spans="6:9">
      <c r="F779"/>
      <c r="G779"/>
      <c r="H779"/>
      <c r="I779"/>
    </row>
    <row r="780" spans="6:9">
      <c r="F780"/>
      <c r="G780"/>
      <c r="H780"/>
      <c r="I780"/>
    </row>
    <row r="781" spans="6:9">
      <c r="F781"/>
      <c r="G781"/>
      <c r="H781"/>
      <c r="I781"/>
    </row>
    <row r="782" spans="6:9">
      <c r="F782"/>
      <c r="G782"/>
      <c r="H782"/>
      <c r="I782"/>
    </row>
    <row r="783" spans="6:9">
      <c r="F783"/>
      <c r="G783"/>
      <c r="H783"/>
      <c r="I783"/>
    </row>
    <row r="784" spans="6:9">
      <c r="F784"/>
      <c r="G784"/>
      <c r="H784"/>
      <c r="I784"/>
    </row>
    <row r="785" spans="6:9">
      <c r="F785"/>
      <c r="G785"/>
      <c r="H785"/>
      <c r="I785"/>
    </row>
    <row r="786" spans="6:9">
      <c r="F786"/>
      <c r="G786"/>
      <c r="H786"/>
      <c r="I786"/>
    </row>
    <row r="787" spans="6:9">
      <c r="F787"/>
      <c r="G787"/>
      <c r="H787"/>
      <c r="I787"/>
    </row>
    <row r="788" spans="6:9">
      <c r="F788"/>
      <c r="G788"/>
      <c r="H788"/>
      <c r="I788"/>
    </row>
    <row r="789" spans="6:9">
      <c r="F789"/>
      <c r="G789"/>
      <c r="H789"/>
      <c r="I789"/>
    </row>
    <row r="790" spans="6:9">
      <c r="F790"/>
      <c r="G790"/>
      <c r="H790"/>
      <c r="I790"/>
    </row>
    <row r="791" spans="6:9">
      <c r="F791"/>
      <c r="G791"/>
      <c r="H791"/>
      <c r="I791"/>
    </row>
    <row r="792" spans="6:9">
      <c r="F792"/>
      <c r="G792"/>
      <c r="H792"/>
      <c r="I792"/>
    </row>
    <row r="793" spans="6:9">
      <c r="F793"/>
      <c r="G793"/>
      <c r="H793"/>
      <c r="I793"/>
    </row>
    <row r="794" spans="6:9">
      <c r="F794"/>
      <c r="G794"/>
      <c r="H794"/>
      <c r="I794"/>
    </row>
    <row r="795" spans="6:9">
      <c r="F795"/>
      <c r="G795"/>
      <c r="H795"/>
      <c r="I795"/>
    </row>
    <row r="796" spans="6:9">
      <c r="F796"/>
      <c r="G796"/>
      <c r="H796"/>
      <c r="I796"/>
    </row>
    <row r="797" spans="6:9">
      <c r="F797"/>
      <c r="G797"/>
      <c r="H797"/>
      <c r="I797"/>
    </row>
    <row r="798" spans="6:9">
      <c r="F798"/>
      <c r="G798"/>
      <c r="H798"/>
      <c r="I798"/>
    </row>
    <row r="799" spans="6:9">
      <c r="F799"/>
      <c r="G799"/>
      <c r="H799"/>
      <c r="I799"/>
    </row>
    <row r="800" spans="6:9">
      <c r="F800"/>
      <c r="G800"/>
      <c r="H800"/>
      <c r="I800"/>
    </row>
    <row r="801" spans="6:9">
      <c r="F801"/>
      <c r="G801"/>
      <c r="H801"/>
      <c r="I801"/>
    </row>
    <row r="802" spans="6:9">
      <c r="F802"/>
      <c r="G802"/>
      <c r="H802"/>
      <c r="I802"/>
    </row>
    <row r="803" spans="6:9">
      <c r="F803"/>
      <c r="G803"/>
      <c r="H803"/>
      <c r="I803"/>
    </row>
    <row r="804" spans="6:9">
      <c r="F804"/>
      <c r="G804"/>
      <c r="H804"/>
      <c r="I804"/>
    </row>
    <row r="805" spans="6:9">
      <c r="F805"/>
      <c r="G805"/>
      <c r="H805"/>
      <c r="I805"/>
    </row>
    <row r="806" spans="6:9">
      <c r="F806"/>
      <c r="G806"/>
      <c r="H806"/>
      <c r="I806"/>
    </row>
    <row r="807" spans="6:9">
      <c r="F807"/>
      <c r="G807"/>
      <c r="H807"/>
      <c r="I807"/>
    </row>
    <row r="808" spans="6:9">
      <c r="F808"/>
      <c r="G808"/>
      <c r="H808"/>
      <c r="I808"/>
    </row>
    <row r="809" spans="6:9">
      <c r="F809"/>
      <c r="G809"/>
      <c r="H809"/>
      <c r="I809"/>
    </row>
    <row r="810" spans="6:9">
      <c r="F810"/>
      <c r="G810"/>
      <c r="H810"/>
      <c r="I810"/>
    </row>
    <row r="811" spans="6:9">
      <c r="F811"/>
      <c r="G811"/>
      <c r="H811"/>
      <c r="I811"/>
    </row>
    <row r="812" spans="6:9">
      <c r="F812"/>
      <c r="G812"/>
      <c r="H812"/>
      <c r="I812"/>
    </row>
    <row r="813" spans="6:9">
      <c r="F813"/>
      <c r="G813"/>
      <c r="H813"/>
      <c r="I813"/>
    </row>
    <row r="814" spans="6:9">
      <c r="F814"/>
      <c r="G814"/>
      <c r="H814"/>
      <c r="I814"/>
    </row>
    <row r="815" spans="6:9">
      <c r="F815"/>
      <c r="G815"/>
      <c r="H815"/>
      <c r="I815"/>
    </row>
    <row r="816" spans="6:9">
      <c r="F816"/>
      <c r="G816"/>
      <c r="H816"/>
      <c r="I816"/>
    </row>
    <row r="817" spans="6:9">
      <c r="F817"/>
      <c r="G817"/>
      <c r="H817"/>
      <c r="I817"/>
    </row>
    <row r="818" spans="6:9">
      <c r="F818"/>
      <c r="G818"/>
      <c r="H818"/>
      <c r="I818"/>
    </row>
    <row r="819" spans="6:9">
      <c r="F819"/>
      <c r="G819"/>
      <c r="H819"/>
      <c r="I819"/>
    </row>
    <row r="820" spans="6:9">
      <c r="F820"/>
      <c r="G820"/>
      <c r="H820"/>
      <c r="I820"/>
    </row>
    <row r="821" spans="6:9">
      <c r="F821"/>
      <c r="G821"/>
      <c r="H821"/>
      <c r="I821"/>
    </row>
    <row r="822" spans="6:9">
      <c r="F822"/>
      <c r="G822"/>
      <c r="H822"/>
      <c r="I822"/>
    </row>
    <row r="823" spans="6:9">
      <c r="F823"/>
      <c r="G823"/>
      <c r="H823"/>
      <c r="I823"/>
    </row>
    <row r="824" spans="6:9">
      <c r="F824"/>
      <c r="G824"/>
      <c r="H824"/>
      <c r="I824"/>
    </row>
    <row r="825" spans="6:9">
      <c r="F825"/>
      <c r="G825"/>
      <c r="H825"/>
      <c r="I825"/>
    </row>
    <row r="826" spans="6:9">
      <c r="F826"/>
      <c r="G826"/>
      <c r="H826"/>
      <c r="I826"/>
    </row>
    <row r="827" spans="6:9">
      <c r="F827"/>
      <c r="G827"/>
      <c r="H827"/>
      <c r="I827"/>
    </row>
    <row r="828" spans="6:9">
      <c r="F828"/>
      <c r="G828"/>
      <c r="H828"/>
      <c r="I828"/>
    </row>
    <row r="829" spans="6:9">
      <c r="F829"/>
      <c r="G829"/>
      <c r="H829"/>
      <c r="I829"/>
    </row>
    <row r="830" spans="6:9">
      <c r="F830"/>
      <c r="G830"/>
      <c r="H830"/>
      <c r="I830"/>
    </row>
    <row r="831" spans="6:9">
      <c r="F831"/>
      <c r="G831"/>
      <c r="H831"/>
      <c r="I831"/>
    </row>
    <row r="832" spans="6:9">
      <c r="F832"/>
      <c r="G832"/>
      <c r="H832"/>
      <c r="I832"/>
    </row>
    <row r="833" spans="6:9">
      <c r="F833"/>
      <c r="G833"/>
      <c r="H833"/>
      <c r="I833"/>
    </row>
    <row r="834" spans="6:9">
      <c r="F834"/>
      <c r="G834"/>
      <c r="H834"/>
      <c r="I834"/>
    </row>
    <row r="835" spans="6:9">
      <c r="F835"/>
      <c r="G835"/>
      <c r="H835"/>
      <c r="I835"/>
    </row>
    <row r="836" spans="6:9">
      <c r="F836"/>
      <c r="G836"/>
      <c r="H836"/>
      <c r="I836"/>
    </row>
    <row r="837" spans="6:9">
      <c r="F837"/>
      <c r="G837"/>
      <c r="H837"/>
      <c r="I837"/>
    </row>
    <row r="838" spans="6:9">
      <c r="F838"/>
      <c r="G838"/>
      <c r="H838"/>
      <c r="I838"/>
    </row>
    <row r="839" spans="6:9">
      <c r="F839"/>
      <c r="G839"/>
      <c r="H839"/>
      <c r="I839"/>
    </row>
    <row r="840" spans="6:9">
      <c r="F840"/>
      <c r="G840"/>
      <c r="H840"/>
      <c r="I840"/>
    </row>
    <row r="841" spans="6:9">
      <c r="F841"/>
      <c r="G841"/>
      <c r="H841"/>
      <c r="I841"/>
    </row>
    <row r="842" spans="6:9">
      <c r="F842"/>
      <c r="G842"/>
      <c r="H842"/>
      <c r="I842"/>
    </row>
    <row r="843" spans="6:9">
      <c r="F843"/>
      <c r="G843"/>
      <c r="H843"/>
      <c r="I843"/>
    </row>
    <row r="844" spans="6:9">
      <c r="F844"/>
      <c r="G844"/>
      <c r="H844"/>
      <c r="I844"/>
    </row>
    <row r="845" spans="6:9">
      <c r="F845"/>
      <c r="G845"/>
      <c r="H845"/>
      <c r="I845"/>
    </row>
    <row r="846" spans="6:9">
      <c r="F846"/>
      <c r="G846"/>
      <c r="H846"/>
      <c r="I846"/>
    </row>
    <row r="847" spans="6:9">
      <c r="F847"/>
      <c r="G847"/>
      <c r="H847"/>
      <c r="I847"/>
    </row>
    <row r="848" spans="6:9">
      <c r="F848"/>
      <c r="G848"/>
      <c r="H848"/>
      <c r="I848"/>
    </row>
    <row r="849" spans="6:9">
      <c r="F849"/>
      <c r="G849"/>
      <c r="H849"/>
      <c r="I849"/>
    </row>
    <row r="850" spans="6:9">
      <c r="F850"/>
      <c r="G850"/>
      <c r="H850"/>
      <c r="I850"/>
    </row>
    <row r="851" spans="6:9">
      <c r="F851"/>
      <c r="G851"/>
      <c r="H851"/>
      <c r="I851"/>
    </row>
    <row r="852" spans="6:9">
      <c r="F852"/>
      <c r="G852"/>
      <c r="H852"/>
      <c r="I852"/>
    </row>
    <row r="853" spans="6:9">
      <c r="F853"/>
      <c r="G853"/>
      <c r="H853"/>
      <c r="I853"/>
    </row>
    <row r="854" spans="6:9">
      <c r="F854"/>
      <c r="G854"/>
      <c r="H854"/>
      <c r="I854"/>
    </row>
    <row r="855" spans="6:9">
      <c r="F855"/>
      <c r="G855"/>
      <c r="H855"/>
      <c r="I855"/>
    </row>
    <row r="856" spans="6:9">
      <c r="F856"/>
      <c r="G856"/>
      <c r="H856"/>
      <c r="I856"/>
    </row>
    <row r="857" spans="6:9">
      <c r="F857"/>
      <c r="G857"/>
      <c r="H857"/>
      <c r="I857"/>
    </row>
    <row r="858" spans="6:9">
      <c r="F858"/>
      <c r="G858"/>
      <c r="H858"/>
      <c r="I858"/>
    </row>
    <row r="859" spans="6:9">
      <c r="F859"/>
      <c r="G859"/>
      <c r="H859"/>
      <c r="I859"/>
    </row>
    <row r="860" spans="6:9">
      <c r="F860"/>
      <c r="G860"/>
      <c r="H860"/>
      <c r="I860"/>
    </row>
    <row r="861" spans="6:9">
      <c r="F861"/>
      <c r="G861"/>
      <c r="H861"/>
      <c r="I861"/>
    </row>
    <row r="862" spans="6:9">
      <c r="F862"/>
      <c r="G862"/>
      <c r="H862"/>
      <c r="I862"/>
    </row>
    <row r="863" spans="6:9">
      <c r="F863"/>
      <c r="G863"/>
      <c r="H863"/>
      <c r="I863"/>
    </row>
    <row r="864" spans="6:9">
      <c r="F864"/>
      <c r="G864"/>
      <c r="H864"/>
      <c r="I864"/>
    </row>
    <row r="865" spans="6:9">
      <c r="F865"/>
      <c r="G865"/>
      <c r="H865"/>
      <c r="I865"/>
    </row>
    <row r="866" spans="6:9">
      <c r="F866"/>
      <c r="G866"/>
      <c r="H866"/>
      <c r="I866"/>
    </row>
    <row r="867" spans="6:9">
      <c r="F867"/>
      <c r="G867"/>
      <c r="H867"/>
      <c r="I867"/>
    </row>
    <row r="868" spans="6:9">
      <c r="F868"/>
      <c r="G868"/>
      <c r="H868"/>
      <c r="I868"/>
    </row>
    <row r="869" spans="6:9">
      <c r="F869"/>
      <c r="G869"/>
      <c r="H869"/>
      <c r="I869"/>
    </row>
    <row r="870" spans="6:9">
      <c r="F870"/>
      <c r="G870"/>
      <c r="H870"/>
      <c r="I870"/>
    </row>
    <row r="871" spans="6:9">
      <c r="F871"/>
      <c r="G871"/>
      <c r="H871"/>
      <c r="I871"/>
    </row>
    <row r="872" spans="6:9">
      <c r="F872"/>
      <c r="G872"/>
      <c r="H872"/>
      <c r="I872"/>
    </row>
    <row r="873" spans="6:9">
      <c r="F873"/>
      <c r="G873"/>
      <c r="H873"/>
      <c r="I873"/>
    </row>
    <row r="874" spans="6:9">
      <c r="F874"/>
      <c r="G874"/>
      <c r="H874"/>
      <c r="I874"/>
    </row>
    <row r="875" spans="6:9">
      <c r="F875"/>
      <c r="G875"/>
      <c r="H875"/>
      <c r="I875"/>
    </row>
    <row r="876" spans="6:9">
      <c r="F876"/>
      <c r="G876"/>
      <c r="H876"/>
      <c r="I876"/>
    </row>
    <row r="877" spans="6:9">
      <c r="F877"/>
      <c r="G877"/>
      <c r="H877"/>
      <c r="I877"/>
    </row>
    <row r="878" spans="6:9">
      <c r="F878"/>
      <c r="G878"/>
      <c r="H878"/>
      <c r="I878"/>
    </row>
    <row r="879" spans="6:9">
      <c r="F879"/>
      <c r="G879"/>
      <c r="H879"/>
      <c r="I879"/>
    </row>
    <row r="880" spans="6:9">
      <c r="F880"/>
      <c r="G880"/>
      <c r="H880"/>
      <c r="I880"/>
    </row>
    <row r="881" spans="6:9">
      <c r="F881"/>
      <c r="G881"/>
      <c r="H881"/>
      <c r="I881"/>
    </row>
    <row r="882" spans="6:9">
      <c r="F882"/>
      <c r="G882"/>
      <c r="H882"/>
      <c r="I882"/>
    </row>
    <row r="883" spans="6:9">
      <c r="F883"/>
      <c r="G883"/>
      <c r="H883"/>
      <c r="I883"/>
    </row>
    <row r="884" spans="6:9">
      <c r="F884"/>
      <c r="G884"/>
      <c r="H884"/>
      <c r="I884"/>
    </row>
    <row r="885" spans="6:9">
      <c r="F885"/>
      <c r="G885"/>
      <c r="H885"/>
      <c r="I885"/>
    </row>
    <row r="886" spans="6:9">
      <c r="F886"/>
      <c r="G886"/>
      <c r="H886"/>
      <c r="I886"/>
    </row>
    <row r="887" spans="6:9">
      <c r="F887"/>
      <c r="G887"/>
      <c r="H887"/>
      <c r="I887"/>
    </row>
    <row r="888" spans="6:9">
      <c r="F888"/>
      <c r="G888"/>
      <c r="H888"/>
      <c r="I888"/>
    </row>
    <row r="889" spans="6:9">
      <c r="F889"/>
      <c r="G889"/>
      <c r="H889"/>
      <c r="I889"/>
    </row>
    <row r="890" spans="6:9">
      <c r="F890"/>
      <c r="G890"/>
      <c r="H890"/>
      <c r="I890"/>
    </row>
    <row r="891" spans="6:9">
      <c r="F891"/>
      <c r="G891"/>
      <c r="H891"/>
      <c r="I891"/>
    </row>
    <row r="892" spans="6:9">
      <c r="F892"/>
      <c r="G892"/>
      <c r="H892"/>
      <c r="I892"/>
    </row>
    <row r="893" spans="6:9">
      <c r="F893"/>
      <c r="G893"/>
      <c r="H893"/>
      <c r="I893"/>
    </row>
    <row r="894" spans="6:9">
      <c r="F894"/>
      <c r="G894"/>
      <c r="H894"/>
      <c r="I894"/>
    </row>
    <row r="895" spans="6:9">
      <c r="F895"/>
      <c r="G895"/>
      <c r="H895"/>
      <c r="I895"/>
    </row>
    <row r="896" spans="6:9">
      <c r="F896"/>
      <c r="G896"/>
      <c r="H896"/>
      <c r="I896"/>
    </row>
    <row r="897" spans="6:9">
      <c r="F897"/>
      <c r="G897"/>
      <c r="H897"/>
      <c r="I897"/>
    </row>
    <row r="898" spans="6:9">
      <c r="F898"/>
      <c r="G898"/>
      <c r="H898"/>
      <c r="I898"/>
    </row>
    <row r="899" spans="6:9">
      <c r="F899"/>
      <c r="G899"/>
      <c r="H899"/>
      <c r="I899"/>
    </row>
    <row r="900" spans="6:9">
      <c r="F900"/>
      <c r="G900"/>
      <c r="H900"/>
      <c r="I900"/>
    </row>
    <row r="901" spans="6:9">
      <c r="F901"/>
      <c r="G901"/>
      <c r="H901"/>
      <c r="I901"/>
    </row>
    <row r="902" spans="6:9">
      <c r="F902"/>
      <c r="G902"/>
      <c r="H902"/>
      <c r="I902"/>
    </row>
    <row r="903" spans="6:9">
      <c r="F903"/>
      <c r="G903"/>
      <c r="H903"/>
      <c r="I903"/>
    </row>
    <row r="904" spans="6:9">
      <c r="F904"/>
      <c r="G904"/>
      <c r="H904"/>
      <c r="I904"/>
    </row>
    <row r="905" spans="6:9">
      <c r="F905"/>
      <c r="G905"/>
      <c r="H905"/>
      <c r="I905"/>
    </row>
    <row r="906" spans="6:9">
      <c r="F906"/>
      <c r="G906"/>
      <c r="H906"/>
      <c r="I906"/>
    </row>
    <row r="907" spans="6:9">
      <c r="F907"/>
      <c r="G907"/>
      <c r="H907"/>
      <c r="I907"/>
    </row>
    <row r="908" spans="6:9">
      <c r="F908"/>
      <c r="G908"/>
      <c r="H908"/>
      <c r="I908"/>
    </row>
    <row r="909" spans="6:9">
      <c r="F909"/>
      <c r="G909"/>
      <c r="H909"/>
      <c r="I909"/>
    </row>
    <row r="910" spans="6:9">
      <c r="F910"/>
      <c r="G910"/>
      <c r="H910"/>
      <c r="I910"/>
    </row>
    <row r="911" spans="6:9">
      <c r="F911"/>
      <c r="G911"/>
      <c r="H911"/>
      <c r="I911"/>
    </row>
    <row r="912" spans="6:9">
      <c r="F912"/>
      <c r="G912"/>
      <c r="H912"/>
      <c r="I912"/>
    </row>
    <row r="913" spans="6:9">
      <c r="F913"/>
      <c r="G913"/>
      <c r="H913"/>
      <c r="I913"/>
    </row>
    <row r="914" spans="6:9">
      <c r="F914"/>
      <c r="G914"/>
      <c r="H914"/>
      <c r="I914"/>
    </row>
    <row r="915" spans="6:9">
      <c r="F915"/>
      <c r="G915"/>
      <c r="H915"/>
      <c r="I915"/>
    </row>
    <row r="916" spans="6:9">
      <c r="F916"/>
      <c r="G916"/>
      <c r="H916"/>
      <c r="I916"/>
    </row>
    <row r="917" spans="6:9">
      <c r="F917"/>
      <c r="G917"/>
      <c r="H917"/>
      <c r="I917"/>
    </row>
    <row r="918" spans="6:9">
      <c r="F918"/>
      <c r="G918"/>
      <c r="H918"/>
      <c r="I918"/>
    </row>
    <row r="919" spans="6:9">
      <c r="F919"/>
      <c r="G919"/>
      <c r="H919"/>
      <c r="I919"/>
    </row>
    <row r="920" spans="6:9">
      <c r="F920"/>
      <c r="G920"/>
      <c r="H920"/>
      <c r="I920"/>
    </row>
    <row r="921" spans="6:9">
      <c r="F921"/>
      <c r="G921"/>
      <c r="H921"/>
      <c r="I921"/>
    </row>
    <row r="922" spans="6:9">
      <c r="F922"/>
      <c r="G922"/>
      <c r="H922"/>
      <c r="I922"/>
    </row>
    <row r="923" spans="6:9">
      <c r="F923"/>
      <c r="G923"/>
      <c r="H923"/>
      <c r="I923"/>
    </row>
    <row r="924" spans="6:9">
      <c r="F924"/>
      <c r="G924"/>
      <c r="H924"/>
      <c r="I924"/>
    </row>
    <row r="925" spans="6:9">
      <c r="F925"/>
      <c r="G925"/>
      <c r="H925"/>
      <c r="I925"/>
    </row>
    <row r="926" spans="6:9">
      <c r="F926"/>
      <c r="G926"/>
      <c r="H926"/>
      <c r="I926"/>
    </row>
    <row r="927" spans="6:9">
      <c r="F927"/>
      <c r="G927"/>
      <c r="H927"/>
      <c r="I927"/>
    </row>
    <row r="928" spans="6:9">
      <c r="F928"/>
      <c r="G928"/>
      <c r="H928"/>
      <c r="I928"/>
    </row>
    <row r="929" spans="6:9">
      <c r="F929"/>
      <c r="G929"/>
      <c r="H929"/>
      <c r="I929"/>
    </row>
    <row r="930" spans="6:9">
      <c r="F930"/>
      <c r="G930"/>
      <c r="H930"/>
      <c r="I930"/>
    </row>
    <row r="931" spans="6:9">
      <c r="F931"/>
      <c r="G931"/>
      <c r="H931"/>
      <c r="I931"/>
    </row>
    <row r="932" spans="6:9">
      <c r="F932"/>
      <c r="G932"/>
      <c r="H932"/>
      <c r="I932"/>
    </row>
    <row r="933" spans="6:9">
      <c r="F933"/>
      <c r="G933"/>
      <c r="H933"/>
      <c r="I933"/>
    </row>
    <row r="934" spans="6:9">
      <c r="F934"/>
      <c r="G934"/>
      <c r="H934"/>
      <c r="I934"/>
    </row>
    <row r="935" spans="6:9">
      <c r="F935"/>
      <c r="G935"/>
      <c r="H935"/>
      <c r="I935"/>
    </row>
    <row r="936" spans="6:9">
      <c r="F936"/>
      <c r="G936"/>
      <c r="H936"/>
      <c r="I936"/>
    </row>
    <row r="937" spans="6:9">
      <c r="F937"/>
      <c r="G937"/>
      <c r="H937"/>
      <c r="I937"/>
    </row>
    <row r="938" spans="6:9">
      <c r="F938"/>
      <c r="G938"/>
      <c r="H938"/>
      <c r="I938"/>
    </row>
    <row r="939" spans="6:9">
      <c r="F939"/>
      <c r="G939"/>
      <c r="H939"/>
      <c r="I939"/>
    </row>
    <row r="940" spans="6:9">
      <c r="F940"/>
      <c r="G940"/>
      <c r="H940"/>
      <c r="I940"/>
    </row>
    <row r="941" spans="6:9">
      <c r="F941"/>
      <c r="G941"/>
      <c r="H941"/>
      <c r="I941"/>
    </row>
    <row r="942" spans="6:9">
      <c r="F942"/>
      <c r="G942"/>
      <c r="H942"/>
      <c r="I942"/>
    </row>
    <row r="943" spans="6:9">
      <c r="F943"/>
      <c r="G943"/>
      <c r="H943"/>
      <c r="I943"/>
    </row>
    <row r="944" spans="6:9">
      <c r="F944"/>
      <c r="G944"/>
      <c r="H944"/>
      <c r="I944"/>
    </row>
    <row r="945" spans="6:9">
      <c r="F945"/>
      <c r="G945"/>
      <c r="H945"/>
      <c r="I945"/>
    </row>
    <row r="946" spans="6:9">
      <c r="F946"/>
      <c r="G946"/>
      <c r="H946"/>
      <c r="I946"/>
    </row>
    <row r="947" spans="6:9">
      <c r="F947"/>
      <c r="G947"/>
      <c r="H947"/>
      <c r="I947"/>
    </row>
    <row r="948" spans="6:9">
      <c r="F948"/>
      <c r="G948"/>
      <c r="H948"/>
      <c r="I948"/>
    </row>
    <row r="949" spans="6:9">
      <c r="F949"/>
      <c r="G949"/>
      <c r="H949"/>
      <c r="I949"/>
    </row>
    <row r="950" spans="6:9">
      <c r="F950"/>
      <c r="G950"/>
      <c r="H950"/>
      <c r="I950"/>
    </row>
    <row r="951" spans="6:9">
      <c r="F951"/>
      <c r="G951"/>
      <c r="H951"/>
      <c r="I951"/>
    </row>
    <row r="952" spans="6:9">
      <c r="F952"/>
      <c r="G952"/>
      <c r="H952"/>
      <c r="I952"/>
    </row>
    <row r="953" spans="6:9">
      <c r="F953"/>
      <c r="G953"/>
      <c r="H953"/>
      <c r="I953"/>
    </row>
    <row r="954" spans="6:9">
      <c r="F954"/>
      <c r="G954"/>
      <c r="H954"/>
      <c r="I954"/>
    </row>
    <row r="955" spans="6:9">
      <c r="F955"/>
      <c r="G955"/>
      <c r="H955"/>
      <c r="I955"/>
    </row>
    <row r="956" spans="6:9">
      <c r="F956"/>
      <c r="G956"/>
      <c r="H956"/>
      <c r="I956"/>
    </row>
    <row r="957" spans="6:9">
      <c r="F957"/>
      <c r="G957"/>
      <c r="H957"/>
      <c r="I957"/>
    </row>
    <row r="958" spans="6:9">
      <c r="F958"/>
      <c r="G958"/>
      <c r="H958"/>
      <c r="I958"/>
    </row>
    <row r="959" spans="6:9">
      <c r="F959"/>
      <c r="G959"/>
      <c r="H959"/>
      <c r="I959"/>
    </row>
    <row r="960" spans="6:9">
      <c r="F960"/>
      <c r="G960"/>
      <c r="H960"/>
      <c r="I960"/>
    </row>
    <row r="961" spans="6:9">
      <c r="F961"/>
      <c r="G961"/>
      <c r="H961"/>
      <c r="I961"/>
    </row>
    <row r="962" spans="6:9">
      <c r="F962"/>
      <c r="G962"/>
      <c r="H962"/>
      <c r="I962"/>
    </row>
    <row r="963" spans="6:9">
      <c r="F963"/>
      <c r="G963"/>
      <c r="H963"/>
      <c r="I963"/>
    </row>
    <row r="964" spans="6:9">
      <c r="F964"/>
      <c r="G964"/>
      <c r="H964"/>
      <c r="I964"/>
    </row>
    <row r="965" spans="6:9">
      <c r="F965"/>
      <c r="G965"/>
      <c r="H965"/>
      <c r="I965"/>
    </row>
    <row r="966" spans="6:9">
      <c r="F966"/>
      <c r="G966"/>
      <c r="H966"/>
      <c r="I966"/>
    </row>
    <row r="967" spans="6:9">
      <c r="F967"/>
      <c r="G967"/>
      <c r="H967"/>
      <c r="I967"/>
    </row>
    <row r="968" spans="6:9">
      <c r="F968"/>
      <c r="G968"/>
      <c r="H968"/>
      <c r="I968"/>
    </row>
    <row r="969" spans="6:9">
      <c r="F969"/>
      <c r="G969"/>
      <c r="H969"/>
      <c r="I969"/>
    </row>
    <row r="970" spans="6:9">
      <c r="F970"/>
      <c r="G970"/>
      <c r="H970"/>
      <c r="I970"/>
    </row>
    <row r="971" spans="6:9">
      <c r="F971"/>
      <c r="G971"/>
      <c r="H971"/>
      <c r="I971"/>
    </row>
    <row r="972" spans="6:9">
      <c r="F972"/>
      <c r="G972"/>
      <c r="H972"/>
      <c r="I972"/>
    </row>
    <row r="973" spans="6:9">
      <c r="F973"/>
      <c r="G973"/>
      <c r="H973"/>
      <c r="I973"/>
    </row>
    <row r="974" spans="6:9">
      <c r="F974"/>
      <c r="G974"/>
      <c r="H974"/>
      <c r="I974"/>
    </row>
    <row r="975" spans="6:9">
      <c r="F975"/>
      <c r="G975"/>
      <c r="H975"/>
      <c r="I975"/>
    </row>
    <row r="976" spans="6:9">
      <c r="F976"/>
      <c r="G976"/>
      <c r="H976"/>
      <c r="I976"/>
    </row>
    <row r="977" spans="6:9">
      <c r="F977"/>
      <c r="G977"/>
      <c r="H977"/>
      <c r="I977"/>
    </row>
    <row r="978" spans="6:9">
      <c r="F978"/>
      <c r="G978"/>
      <c r="H978"/>
      <c r="I978"/>
    </row>
    <row r="979" spans="6:9">
      <c r="F979"/>
      <c r="G979"/>
      <c r="H979"/>
      <c r="I979"/>
    </row>
    <row r="980" spans="6:9">
      <c r="F980"/>
      <c r="G980"/>
      <c r="H980"/>
      <c r="I980"/>
    </row>
    <row r="981" spans="6:9">
      <c r="F981"/>
      <c r="G981"/>
      <c r="H981"/>
      <c r="I981"/>
    </row>
    <row r="982" spans="6:9">
      <c r="F982"/>
      <c r="G982"/>
      <c r="H982"/>
      <c r="I982"/>
    </row>
    <row r="983" spans="6:9">
      <c r="F983"/>
      <c r="G983"/>
      <c r="H983"/>
      <c r="I983"/>
    </row>
    <row r="984" spans="6:9">
      <c r="F984"/>
      <c r="G984"/>
      <c r="H984"/>
      <c r="I984"/>
    </row>
    <row r="985" spans="6:9">
      <c r="F985"/>
      <c r="G985"/>
      <c r="H985"/>
      <c r="I985"/>
    </row>
    <row r="986" spans="6:9">
      <c r="F986"/>
      <c r="G986"/>
      <c r="H986"/>
      <c r="I986"/>
    </row>
    <row r="987" spans="6:9">
      <c r="F987"/>
      <c r="G987"/>
      <c r="H987"/>
      <c r="I987"/>
    </row>
    <row r="988" spans="6:9">
      <c r="F988"/>
      <c r="G988"/>
      <c r="H988"/>
      <c r="I988"/>
    </row>
    <row r="989" spans="6:9">
      <c r="F989"/>
      <c r="G989"/>
      <c r="H989"/>
      <c r="I989"/>
    </row>
    <row r="990" spans="6:9">
      <c r="F990"/>
      <c r="G990"/>
      <c r="H990"/>
      <c r="I990"/>
    </row>
    <row r="991" spans="6:9">
      <c r="F991"/>
      <c r="G991"/>
      <c r="H991"/>
      <c r="I991"/>
    </row>
    <row r="992" spans="6:9">
      <c r="F992"/>
      <c r="G992"/>
      <c r="H992"/>
      <c r="I992"/>
    </row>
    <row r="993" spans="6:9">
      <c r="F993"/>
      <c r="G993"/>
      <c r="H993"/>
      <c r="I993"/>
    </row>
    <row r="994" spans="6:9">
      <c r="F994"/>
      <c r="G994"/>
      <c r="H994"/>
      <c r="I994"/>
    </row>
    <row r="995" spans="6:9">
      <c r="F995"/>
      <c r="G995"/>
      <c r="H995"/>
      <c r="I995"/>
    </row>
    <row r="996" spans="6:9">
      <c r="F996"/>
      <c r="G996"/>
      <c r="H996"/>
      <c r="I996"/>
    </row>
    <row r="997" spans="6:9">
      <c r="F997"/>
      <c r="G997"/>
      <c r="H997"/>
      <c r="I997"/>
    </row>
    <row r="998" spans="6:9">
      <c r="F998"/>
      <c r="G998"/>
      <c r="H998"/>
      <c r="I998"/>
    </row>
    <row r="999" spans="6:9">
      <c r="F999"/>
      <c r="G999"/>
      <c r="H999"/>
      <c r="I999"/>
    </row>
    <row r="1000" spans="6:9">
      <c r="F1000"/>
      <c r="G1000"/>
      <c r="H1000"/>
      <c r="I1000"/>
    </row>
    <row r="1001" spans="6:9">
      <c r="F1001"/>
      <c r="G1001"/>
      <c r="H1001"/>
      <c r="I1001"/>
    </row>
    <row r="1002" spans="6:9">
      <c r="F1002"/>
      <c r="G1002"/>
      <c r="H1002"/>
      <c r="I1002"/>
    </row>
    <row r="1003" spans="6:9">
      <c r="F1003"/>
      <c r="G1003"/>
      <c r="H1003"/>
      <c r="I1003"/>
    </row>
    <row r="1004" spans="6:9">
      <c r="F1004"/>
      <c r="G1004"/>
      <c r="H1004"/>
      <c r="I1004"/>
    </row>
    <row r="1005" spans="6:9">
      <c r="F1005"/>
      <c r="G1005"/>
      <c r="H1005"/>
      <c r="I1005"/>
    </row>
    <row r="1006" spans="6:9">
      <c r="F1006"/>
      <c r="G1006"/>
      <c r="H1006"/>
      <c r="I1006"/>
    </row>
    <row r="1007" spans="6:9">
      <c r="F1007"/>
      <c r="G1007"/>
      <c r="H1007"/>
      <c r="I1007"/>
    </row>
    <row r="1008" spans="6:9">
      <c r="F1008"/>
      <c r="G1008"/>
      <c r="H1008"/>
      <c r="I1008"/>
    </row>
    <row r="1009" spans="6:9">
      <c r="F1009"/>
      <c r="G1009"/>
      <c r="H1009"/>
      <c r="I1009"/>
    </row>
    <row r="1010" spans="6:9">
      <c r="F1010"/>
      <c r="G1010"/>
      <c r="H1010"/>
      <c r="I1010"/>
    </row>
    <row r="1011" spans="6:9">
      <c r="F1011"/>
      <c r="G1011"/>
      <c r="H1011"/>
      <c r="I1011"/>
    </row>
    <row r="1012" spans="6:9">
      <c r="F1012"/>
      <c r="G1012"/>
      <c r="H1012"/>
      <c r="I1012"/>
    </row>
    <row r="1013" spans="6:9">
      <c r="F1013"/>
      <c r="G1013"/>
      <c r="H1013"/>
      <c r="I1013"/>
    </row>
    <row r="1014" spans="6:9">
      <c r="F1014"/>
      <c r="G1014"/>
      <c r="H1014"/>
      <c r="I1014"/>
    </row>
    <row r="1015" spans="6:9">
      <c r="F1015"/>
      <c r="G1015"/>
      <c r="H1015"/>
      <c r="I1015"/>
    </row>
    <row r="1016" spans="6:9">
      <c r="F1016"/>
      <c r="G1016"/>
      <c r="H1016"/>
      <c r="I1016"/>
    </row>
    <row r="1017" spans="6:9">
      <c r="F1017"/>
      <c r="G1017"/>
      <c r="H1017"/>
      <c r="I1017"/>
    </row>
    <row r="1018" spans="6:9">
      <c r="F1018"/>
      <c r="G1018"/>
      <c r="H1018"/>
      <c r="I1018"/>
    </row>
    <row r="1019" spans="6:9">
      <c r="F1019"/>
      <c r="G1019"/>
      <c r="H1019"/>
      <c r="I1019"/>
    </row>
    <row r="1020" spans="6:9">
      <c r="F1020"/>
      <c r="G1020"/>
      <c r="H1020"/>
      <c r="I1020"/>
    </row>
    <row r="1021" spans="6:9">
      <c r="F1021"/>
      <c r="G1021"/>
      <c r="H1021"/>
      <c r="I1021"/>
    </row>
    <row r="1022" spans="6:9">
      <c r="F1022"/>
      <c r="G1022"/>
      <c r="H1022"/>
      <c r="I1022"/>
    </row>
    <row r="1023" spans="6:9">
      <c r="F1023"/>
      <c r="G1023"/>
      <c r="H1023"/>
      <c r="I1023"/>
    </row>
    <row r="1024" spans="6:9">
      <c r="F1024"/>
      <c r="G1024"/>
      <c r="H1024"/>
      <c r="I1024"/>
    </row>
    <row r="1025" spans="6:9">
      <c r="F1025"/>
      <c r="G1025"/>
      <c r="H1025"/>
      <c r="I1025"/>
    </row>
    <row r="1026" spans="6:9">
      <c r="F1026"/>
      <c r="G1026"/>
      <c r="H1026"/>
      <c r="I1026"/>
    </row>
    <row r="1027" spans="6:9">
      <c r="F1027"/>
      <c r="G1027"/>
      <c r="H1027"/>
      <c r="I1027"/>
    </row>
    <row r="1028" spans="6:9">
      <c r="F1028"/>
      <c r="G1028"/>
      <c r="H1028"/>
      <c r="I1028"/>
    </row>
    <row r="1029" spans="6:9">
      <c r="F1029"/>
      <c r="G1029"/>
      <c r="H1029"/>
      <c r="I1029"/>
    </row>
    <row r="1030" spans="6:9">
      <c r="F1030"/>
      <c r="G1030"/>
      <c r="H1030"/>
      <c r="I1030"/>
    </row>
    <row r="1031" spans="6:9">
      <c r="F1031"/>
      <c r="G1031"/>
      <c r="H1031"/>
      <c r="I1031"/>
    </row>
    <row r="1032" spans="6:9">
      <c r="F1032"/>
      <c r="G1032"/>
      <c r="H1032"/>
      <c r="I1032"/>
    </row>
    <row r="1033" spans="6:9">
      <c r="F1033"/>
      <c r="G1033"/>
      <c r="H1033"/>
      <c r="I1033"/>
    </row>
    <row r="1034" spans="6:9">
      <c r="F1034"/>
      <c r="G1034"/>
      <c r="H1034"/>
      <c r="I1034"/>
    </row>
    <row r="1035" spans="6:9">
      <c r="F1035"/>
      <c r="G1035"/>
      <c r="H1035"/>
      <c r="I1035"/>
    </row>
    <row r="1036" spans="6:9">
      <c r="F1036"/>
      <c r="G1036"/>
      <c r="H1036"/>
      <c r="I1036"/>
    </row>
    <row r="1037" spans="6:9">
      <c r="F1037"/>
      <c r="G1037"/>
      <c r="H1037"/>
      <c r="I1037"/>
    </row>
    <row r="1038" spans="6:9">
      <c r="F1038"/>
      <c r="G1038"/>
      <c r="H1038"/>
      <c r="I1038"/>
    </row>
    <row r="1039" spans="6:9">
      <c r="F1039"/>
      <c r="G1039"/>
      <c r="H1039"/>
      <c r="I1039"/>
    </row>
    <row r="1040" spans="6:9">
      <c r="F1040"/>
      <c r="G1040"/>
      <c r="H1040"/>
      <c r="I1040"/>
    </row>
    <row r="1041" spans="6:9">
      <c r="F1041"/>
      <c r="G1041"/>
      <c r="H1041"/>
      <c r="I1041"/>
    </row>
    <row r="1042" spans="6:9">
      <c r="F1042"/>
      <c r="G1042"/>
      <c r="H1042"/>
      <c r="I1042"/>
    </row>
    <row r="1043" spans="6:9">
      <c r="F1043"/>
      <c r="G1043"/>
      <c r="H1043"/>
      <c r="I1043"/>
    </row>
    <row r="1044" spans="6:9">
      <c r="F1044"/>
      <c r="G1044"/>
      <c r="H1044"/>
      <c r="I1044"/>
    </row>
    <row r="1045" spans="6:9">
      <c r="F1045"/>
      <c r="G1045"/>
      <c r="H1045"/>
      <c r="I1045"/>
    </row>
    <row r="1046" spans="6:9">
      <c r="F1046"/>
      <c r="G1046"/>
      <c r="H1046"/>
      <c r="I1046"/>
    </row>
    <row r="1047" spans="6:9">
      <c r="F1047"/>
      <c r="G1047"/>
      <c r="H1047"/>
      <c r="I1047"/>
    </row>
    <row r="1048" spans="6:9">
      <c r="F1048"/>
      <c r="G1048"/>
      <c r="H1048"/>
      <c r="I1048"/>
    </row>
    <row r="1049" spans="6:9">
      <c r="F1049"/>
      <c r="G1049"/>
      <c r="H1049"/>
      <c r="I1049"/>
    </row>
    <row r="1050" spans="6:9">
      <c r="F1050"/>
      <c r="G1050"/>
      <c r="H1050"/>
      <c r="I1050"/>
    </row>
    <row r="1051" spans="6:9">
      <c r="F1051"/>
      <c r="G1051"/>
      <c r="H1051"/>
      <c r="I1051"/>
    </row>
    <row r="1052" spans="6:9">
      <c r="F1052"/>
      <c r="G1052"/>
      <c r="H1052"/>
      <c r="I1052"/>
    </row>
    <row r="1053" spans="6:9">
      <c r="F1053"/>
      <c r="G1053"/>
      <c r="H1053"/>
      <c r="I1053"/>
    </row>
    <row r="1054" spans="6:9">
      <c r="F1054"/>
      <c r="G1054"/>
      <c r="H1054"/>
      <c r="I1054"/>
    </row>
    <row r="1055" spans="6:9">
      <c r="F1055"/>
      <c r="G1055"/>
      <c r="H1055"/>
      <c r="I1055"/>
    </row>
    <row r="1056" spans="6:9">
      <c r="F1056"/>
      <c r="G1056"/>
      <c r="H1056"/>
      <c r="I1056"/>
    </row>
    <row r="1057" spans="6:9">
      <c r="F1057"/>
      <c r="G1057"/>
      <c r="H1057"/>
      <c r="I1057"/>
    </row>
    <row r="1058" spans="6:9">
      <c r="F1058"/>
      <c r="G1058"/>
      <c r="H1058"/>
      <c r="I1058"/>
    </row>
    <row r="1059" spans="6:9">
      <c r="F1059"/>
      <c r="G1059"/>
      <c r="H1059"/>
      <c r="I1059"/>
    </row>
    <row r="1060" spans="6:9">
      <c r="F1060"/>
      <c r="G1060"/>
      <c r="H1060"/>
      <c r="I1060"/>
    </row>
    <row r="1061" spans="6:9">
      <c r="F1061"/>
      <c r="G1061"/>
      <c r="H1061"/>
      <c r="I1061"/>
    </row>
    <row r="1062" spans="6:9">
      <c r="F1062"/>
      <c r="G1062"/>
      <c r="H1062"/>
      <c r="I1062"/>
    </row>
    <row r="1063" spans="6:9">
      <c r="F1063"/>
      <c r="G1063"/>
      <c r="H1063"/>
      <c r="I1063"/>
    </row>
    <row r="1064" spans="6:9">
      <c r="F1064"/>
      <c r="G1064"/>
      <c r="H1064"/>
      <c r="I1064"/>
    </row>
    <row r="1065" spans="6:9">
      <c r="F1065"/>
      <c r="G1065"/>
      <c r="H1065"/>
      <c r="I1065"/>
    </row>
    <row r="1066" spans="6:9">
      <c r="F1066"/>
      <c r="G1066"/>
      <c r="H1066"/>
      <c r="I1066"/>
    </row>
    <row r="1067" spans="6:9">
      <c r="F1067"/>
      <c r="G1067"/>
      <c r="H1067"/>
      <c r="I1067"/>
    </row>
    <row r="1068" spans="6:9">
      <c r="F1068"/>
      <c r="G1068"/>
      <c r="H1068"/>
      <c r="I1068"/>
    </row>
    <row r="1069" spans="6:9">
      <c r="F1069"/>
      <c r="G1069"/>
      <c r="H1069"/>
      <c r="I1069"/>
    </row>
    <row r="1070" spans="6:9">
      <c r="F1070"/>
      <c r="G1070"/>
      <c r="H1070"/>
      <c r="I1070"/>
    </row>
    <row r="1071" spans="6:9">
      <c r="F1071"/>
      <c r="G1071"/>
      <c r="H1071"/>
      <c r="I1071"/>
    </row>
    <row r="1072" spans="6:9">
      <c r="F1072"/>
      <c r="G1072"/>
      <c r="H1072"/>
      <c r="I1072"/>
    </row>
    <row r="1073" spans="6:9">
      <c r="F1073"/>
      <c r="G1073"/>
      <c r="H1073"/>
      <c r="I1073"/>
    </row>
    <row r="1074" spans="6:9">
      <c r="F1074"/>
      <c r="G1074"/>
      <c r="H1074"/>
      <c r="I1074"/>
    </row>
    <row r="1075" spans="6:9">
      <c r="F1075"/>
      <c r="G1075"/>
      <c r="H1075"/>
      <c r="I1075"/>
    </row>
    <row r="1076" spans="6:9">
      <c r="F1076"/>
      <c r="G1076"/>
      <c r="H1076"/>
      <c r="I1076"/>
    </row>
    <row r="1077" spans="6:9">
      <c r="F1077"/>
      <c r="G1077"/>
      <c r="H1077"/>
      <c r="I1077"/>
    </row>
    <row r="1078" spans="6:9">
      <c r="F1078"/>
      <c r="G1078"/>
      <c r="H1078"/>
      <c r="I1078"/>
    </row>
    <row r="1079" spans="6:9">
      <c r="F1079"/>
      <c r="G1079"/>
      <c r="H1079"/>
      <c r="I1079"/>
    </row>
    <row r="1080" spans="6:9">
      <c r="F1080"/>
      <c r="G1080"/>
      <c r="H1080"/>
      <c r="I1080"/>
    </row>
    <row r="1081" spans="6:9">
      <c r="F1081"/>
      <c r="G1081"/>
      <c r="H1081"/>
      <c r="I1081"/>
    </row>
    <row r="1082" spans="6:9">
      <c r="F1082"/>
      <c r="G1082"/>
      <c r="H1082"/>
      <c r="I1082"/>
    </row>
    <row r="1083" spans="6:9">
      <c r="F1083"/>
      <c r="G1083"/>
      <c r="H1083"/>
      <c r="I1083"/>
    </row>
    <row r="1084" spans="6:9">
      <c r="F1084"/>
      <c r="G1084"/>
      <c r="H1084"/>
      <c r="I1084"/>
    </row>
    <row r="1085" spans="6:9">
      <c r="F1085"/>
      <c r="G1085"/>
      <c r="H1085"/>
      <c r="I1085"/>
    </row>
    <row r="1086" spans="6:9">
      <c r="F1086"/>
      <c r="G1086"/>
      <c r="H1086"/>
      <c r="I1086"/>
    </row>
    <row r="1087" spans="6:9">
      <c r="F1087"/>
      <c r="G1087"/>
      <c r="H1087"/>
      <c r="I1087"/>
    </row>
    <row r="1088" spans="6:9">
      <c r="F1088"/>
      <c r="G1088"/>
      <c r="H1088"/>
      <c r="I1088"/>
    </row>
    <row r="1089" spans="6:9">
      <c r="F1089"/>
      <c r="G1089"/>
      <c r="H1089"/>
      <c r="I1089"/>
    </row>
    <row r="1090" spans="6:9">
      <c r="F1090"/>
      <c r="G1090"/>
      <c r="H1090"/>
      <c r="I1090"/>
    </row>
    <row r="1091" spans="6:9">
      <c r="F1091"/>
      <c r="G1091"/>
      <c r="H1091"/>
      <c r="I1091"/>
    </row>
    <row r="1092" spans="6:9">
      <c r="F1092"/>
      <c r="G1092"/>
      <c r="H1092"/>
      <c r="I1092"/>
    </row>
    <row r="1093" spans="6:9">
      <c r="F1093"/>
      <c r="G1093"/>
      <c r="H1093"/>
      <c r="I1093"/>
    </row>
    <row r="1094" spans="6:9">
      <c r="F1094"/>
      <c r="G1094"/>
      <c r="H1094"/>
      <c r="I1094"/>
    </row>
    <row r="1095" spans="6:9">
      <c r="F1095"/>
      <c r="G1095"/>
      <c r="H1095"/>
      <c r="I1095"/>
    </row>
    <row r="1096" spans="6:9">
      <c r="F1096"/>
      <c r="G1096"/>
      <c r="H1096"/>
      <c r="I1096"/>
    </row>
    <row r="1097" spans="6:9">
      <c r="F1097"/>
      <c r="G1097"/>
      <c r="H1097"/>
      <c r="I1097"/>
    </row>
    <row r="1098" spans="6:9">
      <c r="F1098"/>
      <c r="G1098"/>
      <c r="H1098"/>
      <c r="I1098"/>
    </row>
    <row r="1099" spans="6:9">
      <c r="F1099"/>
      <c r="G1099"/>
      <c r="H1099"/>
      <c r="I1099"/>
    </row>
    <row r="1100" spans="6:9">
      <c r="F1100"/>
      <c r="G1100"/>
      <c r="H1100"/>
      <c r="I1100"/>
    </row>
    <row r="1101" spans="6:9">
      <c r="F1101"/>
      <c r="G1101"/>
      <c r="H1101"/>
      <c r="I1101"/>
    </row>
    <row r="1102" spans="6:9">
      <c r="F1102"/>
      <c r="G1102"/>
      <c r="H1102"/>
      <c r="I1102"/>
    </row>
    <row r="1103" spans="6:9">
      <c r="F1103"/>
      <c r="G1103"/>
      <c r="H1103"/>
      <c r="I1103"/>
    </row>
    <row r="1104" spans="6:9">
      <c r="F1104"/>
      <c r="G1104"/>
      <c r="H1104"/>
      <c r="I1104"/>
    </row>
    <row r="1105" spans="6:9">
      <c r="F1105"/>
      <c r="G1105"/>
      <c r="H1105"/>
      <c r="I1105"/>
    </row>
    <row r="1106" spans="6:9">
      <c r="F1106"/>
      <c r="G1106"/>
      <c r="H1106"/>
      <c r="I1106"/>
    </row>
    <row r="1107" spans="6:9">
      <c r="F1107"/>
      <c r="G1107"/>
      <c r="H1107"/>
      <c r="I1107"/>
    </row>
    <row r="1108" spans="6:9">
      <c r="F1108"/>
      <c r="G1108"/>
      <c r="H1108"/>
      <c r="I1108"/>
    </row>
    <row r="1109" spans="6:9">
      <c r="F1109"/>
      <c r="G1109"/>
      <c r="H1109"/>
      <c r="I1109"/>
    </row>
    <row r="1110" spans="6:9">
      <c r="F1110"/>
      <c r="G1110"/>
      <c r="H1110"/>
      <c r="I1110"/>
    </row>
    <row r="1111" spans="6:9">
      <c r="F1111"/>
      <c r="G1111"/>
      <c r="H1111"/>
      <c r="I1111"/>
    </row>
    <row r="1112" spans="6:9">
      <c r="F1112"/>
      <c r="G1112"/>
      <c r="H1112"/>
      <c r="I1112"/>
    </row>
    <row r="1113" spans="6:9">
      <c r="F1113"/>
      <c r="G1113"/>
      <c r="H1113"/>
      <c r="I1113"/>
    </row>
    <row r="1114" spans="6:9">
      <c r="F1114"/>
      <c r="G1114"/>
      <c r="H1114"/>
      <c r="I1114"/>
    </row>
    <row r="1115" spans="6:9">
      <c r="F1115"/>
      <c r="G1115"/>
      <c r="H1115"/>
      <c r="I1115"/>
    </row>
    <row r="1116" spans="6:9">
      <c r="F1116"/>
      <c r="G1116"/>
      <c r="H1116"/>
      <c r="I1116"/>
    </row>
    <row r="1117" spans="6:9">
      <c r="F1117"/>
      <c r="G1117"/>
      <c r="H1117"/>
      <c r="I1117"/>
    </row>
    <row r="1118" spans="6:9">
      <c r="F1118"/>
      <c r="G1118"/>
      <c r="H1118"/>
      <c r="I1118"/>
    </row>
    <row r="1119" spans="6:9">
      <c r="F1119"/>
      <c r="G1119"/>
      <c r="H1119"/>
      <c r="I1119"/>
    </row>
    <row r="1120" spans="6:9">
      <c r="F1120"/>
      <c r="G1120"/>
      <c r="H1120"/>
      <c r="I1120"/>
    </row>
    <row r="1121" spans="6:9">
      <c r="F1121"/>
      <c r="G1121"/>
      <c r="H1121"/>
      <c r="I1121"/>
    </row>
    <row r="1122" spans="6:9">
      <c r="F1122"/>
      <c r="G1122"/>
      <c r="H1122"/>
      <c r="I1122"/>
    </row>
    <row r="1123" spans="6:9">
      <c r="F1123"/>
      <c r="G1123"/>
      <c r="H1123"/>
      <c r="I1123"/>
    </row>
    <row r="1124" spans="6:9">
      <c r="F1124"/>
      <c r="G1124"/>
      <c r="H1124"/>
      <c r="I1124"/>
    </row>
    <row r="1125" spans="6:9">
      <c r="F1125"/>
      <c r="G1125"/>
      <c r="H1125"/>
      <c r="I1125"/>
    </row>
    <row r="1126" spans="6:9">
      <c r="F1126"/>
      <c r="G1126"/>
      <c r="H1126"/>
      <c r="I1126"/>
    </row>
    <row r="1127" spans="6:9">
      <c r="F1127"/>
      <c r="G1127"/>
      <c r="H1127"/>
      <c r="I1127"/>
    </row>
    <row r="1128" spans="6:9">
      <c r="F1128"/>
      <c r="G1128"/>
      <c r="H1128"/>
      <c r="I1128"/>
    </row>
    <row r="1129" spans="6:9">
      <c r="F1129"/>
      <c r="G1129"/>
      <c r="H1129"/>
      <c r="I1129"/>
    </row>
    <row r="1130" spans="6:9">
      <c r="F1130"/>
      <c r="G1130"/>
      <c r="H1130"/>
      <c r="I1130"/>
    </row>
    <row r="1131" spans="6:9">
      <c r="F1131"/>
      <c r="G1131"/>
      <c r="H1131"/>
      <c r="I1131"/>
    </row>
    <row r="1132" spans="6:9">
      <c r="F1132"/>
      <c r="G1132"/>
      <c r="H1132"/>
      <c r="I1132"/>
    </row>
    <row r="1133" spans="6:9">
      <c r="F1133"/>
      <c r="G1133"/>
      <c r="H1133"/>
      <c r="I1133"/>
    </row>
    <row r="1134" spans="6:9">
      <c r="F1134"/>
      <c r="G1134"/>
      <c r="H1134"/>
      <c r="I1134"/>
    </row>
    <row r="1135" spans="6:9">
      <c r="F1135"/>
      <c r="G1135"/>
      <c r="H1135"/>
      <c r="I1135"/>
    </row>
    <row r="1136" spans="6:9">
      <c r="F1136"/>
      <c r="G1136"/>
      <c r="H1136"/>
      <c r="I1136"/>
    </row>
    <row r="1137" spans="6:9">
      <c r="F1137"/>
      <c r="G1137"/>
      <c r="H1137"/>
      <c r="I1137"/>
    </row>
    <row r="1138" spans="6:9">
      <c r="F1138"/>
      <c r="G1138"/>
      <c r="H1138"/>
      <c r="I1138"/>
    </row>
    <row r="1139" spans="6:9">
      <c r="F1139"/>
      <c r="G1139"/>
      <c r="H1139"/>
      <c r="I1139"/>
    </row>
    <row r="1140" spans="6:9">
      <c r="F1140"/>
      <c r="G1140"/>
      <c r="H1140"/>
      <c r="I1140"/>
    </row>
    <row r="1141" spans="6:9">
      <c r="F1141"/>
      <c r="G1141"/>
      <c r="H1141"/>
      <c r="I1141"/>
    </row>
    <row r="1142" spans="6:9">
      <c r="F1142"/>
      <c r="G1142"/>
      <c r="H1142"/>
      <c r="I1142"/>
    </row>
    <row r="1143" spans="6:9">
      <c r="F1143"/>
      <c r="G1143"/>
      <c r="H1143"/>
      <c r="I1143"/>
    </row>
    <row r="1144" spans="6:9">
      <c r="F1144"/>
      <c r="G1144"/>
      <c r="H1144"/>
      <c r="I1144"/>
    </row>
    <row r="1145" spans="6:9">
      <c r="F1145"/>
      <c r="G1145"/>
      <c r="H1145"/>
      <c r="I1145"/>
    </row>
    <row r="1146" spans="6:9">
      <c r="F1146"/>
      <c r="G1146"/>
      <c r="H1146"/>
      <c r="I1146"/>
    </row>
    <row r="1147" spans="6:9">
      <c r="F1147"/>
      <c r="G1147"/>
      <c r="H1147"/>
      <c r="I1147"/>
    </row>
    <row r="1148" spans="6:9">
      <c r="F1148"/>
      <c r="G1148"/>
      <c r="H1148"/>
      <c r="I1148"/>
    </row>
    <row r="1149" spans="6:9">
      <c r="F1149"/>
      <c r="G1149"/>
      <c r="H1149"/>
      <c r="I1149"/>
    </row>
    <row r="1150" spans="6:9">
      <c r="F1150"/>
      <c r="G1150"/>
      <c r="H1150"/>
      <c r="I1150"/>
    </row>
    <row r="1151" spans="6:9">
      <c r="F1151"/>
      <c r="G1151"/>
      <c r="H1151"/>
      <c r="I1151"/>
    </row>
    <row r="1152" spans="6:9">
      <c r="F1152"/>
      <c r="G1152"/>
      <c r="H1152"/>
      <c r="I1152"/>
    </row>
    <row r="1153" spans="6:9">
      <c r="F1153"/>
      <c r="G1153"/>
      <c r="H1153"/>
      <c r="I1153"/>
    </row>
    <row r="1154" spans="6:9">
      <c r="F1154"/>
      <c r="G1154"/>
      <c r="H1154"/>
      <c r="I1154"/>
    </row>
    <row r="1155" spans="6:9">
      <c r="F1155"/>
      <c r="G1155"/>
      <c r="H1155"/>
      <c r="I1155"/>
    </row>
    <row r="1156" spans="6:9">
      <c r="F1156"/>
      <c r="G1156"/>
      <c r="H1156"/>
      <c r="I1156"/>
    </row>
    <row r="1157" spans="6:9">
      <c r="F1157"/>
      <c r="G1157"/>
      <c r="H1157"/>
      <c r="I1157"/>
    </row>
    <row r="1158" spans="6:9">
      <c r="F1158"/>
      <c r="G1158"/>
      <c r="H1158"/>
      <c r="I1158"/>
    </row>
    <row r="1159" spans="6:9">
      <c r="F1159"/>
      <c r="G1159"/>
      <c r="H1159"/>
      <c r="I1159"/>
    </row>
    <row r="1160" spans="6:9">
      <c r="F1160"/>
      <c r="G1160"/>
      <c r="H1160"/>
      <c r="I1160"/>
    </row>
    <row r="1161" spans="6:9">
      <c r="F1161"/>
      <c r="G1161"/>
      <c r="H1161"/>
      <c r="I1161"/>
    </row>
    <row r="1162" spans="6:9">
      <c r="F1162"/>
      <c r="G1162"/>
      <c r="H1162"/>
      <c r="I1162"/>
    </row>
    <row r="1163" spans="6:9">
      <c r="F1163"/>
      <c r="G1163"/>
      <c r="H1163"/>
      <c r="I1163"/>
    </row>
    <row r="1164" spans="6:9">
      <c r="F1164"/>
      <c r="G1164"/>
      <c r="H1164"/>
      <c r="I1164"/>
    </row>
    <row r="1165" spans="6:9">
      <c r="F1165"/>
      <c r="G1165"/>
      <c r="H1165"/>
      <c r="I1165"/>
    </row>
    <row r="1166" spans="6:9">
      <c r="F1166"/>
      <c r="G1166"/>
      <c r="H1166"/>
      <c r="I1166"/>
    </row>
    <row r="1167" spans="6:9">
      <c r="F1167"/>
      <c r="G1167"/>
      <c r="H1167"/>
      <c r="I1167"/>
    </row>
    <row r="1168" spans="6:9">
      <c r="F1168"/>
      <c r="G1168"/>
      <c r="H1168"/>
      <c r="I1168"/>
    </row>
    <row r="1169" spans="6:9">
      <c r="F1169"/>
      <c r="G1169"/>
      <c r="H1169"/>
      <c r="I1169"/>
    </row>
    <row r="1170" spans="6:9">
      <c r="F1170"/>
      <c r="G1170"/>
      <c r="H1170"/>
      <c r="I1170"/>
    </row>
    <row r="1171" spans="6:9">
      <c r="F1171"/>
      <c r="G1171"/>
      <c r="H1171"/>
      <c r="I1171"/>
    </row>
    <row r="1172" spans="6:9">
      <c r="F1172"/>
      <c r="G1172"/>
      <c r="H1172"/>
      <c r="I1172"/>
    </row>
    <row r="1173" spans="6:9">
      <c r="F1173"/>
      <c r="G1173"/>
      <c r="H1173"/>
      <c r="I1173"/>
    </row>
    <row r="1174" spans="6:9">
      <c r="F1174"/>
      <c r="G1174"/>
      <c r="H1174"/>
      <c r="I1174"/>
    </row>
    <row r="1175" spans="6:9">
      <c r="F1175"/>
      <c r="G1175"/>
      <c r="H1175"/>
      <c r="I1175"/>
    </row>
    <row r="1176" spans="6:9">
      <c r="F1176"/>
      <c r="G1176"/>
      <c r="H1176"/>
      <c r="I1176"/>
    </row>
    <row r="1177" spans="6:9">
      <c r="F1177"/>
      <c r="G1177"/>
      <c r="H1177"/>
      <c r="I1177"/>
    </row>
    <row r="1178" spans="6:9">
      <c r="F1178"/>
      <c r="G1178"/>
      <c r="H1178"/>
      <c r="I1178"/>
    </row>
    <row r="1179" spans="6:9">
      <c r="F1179"/>
      <c r="G1179"/>
      <c r="H1179"/>
      <c r="I1179"/>
    </row>
    <row r="1180" spans="6:9">
      <c r="F1180"/>
      <c r="G1180"/>
      <c r="H1180"/>
      <c r="I1180"/>
    </row>
    <row r="1181" spans="6:9">
      <c r="F1181"/>
      <c r="G1181"/>
      <c r="H1181"/>
      <c r="I1181"/>
    </row>
    <row r="1182" spans="6:9">
      <c r="F1182"/>
      <c r="G1182"/>
      <c r="H1182"/>
      <c r="I1182"/>
    </row>
    <row r="1183" spans="6:9">
      <c r="F1183"/>
      <c r="G1183"/>
      <c r="H1183"/>
      <c r="I1183"/>
    </row>
    <row r="1184" spans="6:9">
      <c r="F1184"/>
      <c r="G1184"/>
      <c r="H1184"/>
      <c r="I1184"/>
    </row>
    <row r="1185" spans="6:9">
      <c r="F1185"/>
      <c r="G1185"/>
      <c r="H1185"/>
      <c r="I1185"/>
    </row>
    <row r="1186" spans="6:9">
      <c r="F1186"/>
      <c r="G1186"/>
      <c r="H1186"/>
      <c r="I1186"/>
    </row>
    <row r="1187" spans="6:9">
      <c r="F1187"/>
      <c r="G1187"/>
      <c r="H1187"/>
      <c r="I1187"/>
    </row>
    <row r="1188" spans="6:9">
      <c r="F1188"/>
      <c r="G1188"/>
      <c r="H1188"/>
      <c r="I1188"/>
    </row>
    <row r="1189" spans="6:9">
      <c r="F1189"/>
      <c r="G1189"/>
      <c r="H1189"/>
      <c r="I1189"/>
    </row>
    <row r="1190" spans="6:9">
      <c r="F1190"/>
      <c r="G1190"/>
      <c r="H1190"/>
      <c r="I1190"/>
    </row>
    <row r="1191" spans="6:9">
      <c r="F1191"/>
      <c r="G1191"/>
      <c r="H1191"/>
      <c r="I1191"/>
    </row>
    <row r="1192" spans="6:9">
      <c r="F1192"/>
      <c r="G1192"/>
      <c r="H1192"/>
      <c r="I1192"/>
    </row>
    <row r="1193" spans="6:9">
      <c r="F1193"/>
      <c r="G1193"/>
      <c r="H1193"/>
      <c r="I1193"/>
    </row>
    <row r="1194" spans="6:9">
      <c r="F1194"/>
      <c r="G1194"/>
      <c r="H1194"/>
      <c r="I1194"/>
    </row>
    <row r="1195" spans="6:9">
      <c r="F1195"/>
      <c r="G1195"/>
      <c r="H1195"/>
      <c r="I1195"/>
    </row>
    <row r="1196" spans="6:9">
      <c r="F1196"/>
      <c r="G1196"/>
      <c r="H1196"/>
      <c r="I1196"/>
    </row>
    <row r="1197" spans="6:9">
      <c r="F1197"/>
      <c r="G1197"/>
      <c r="H1197"/>
      <c r="I1197"/>
    </row>
    <row r="1198" spans="6:9">
      <c r="F1198"/>
      <c r="G1198"/>
      <c r="H1198"/>
      <c r="I1198"/>
    </row>
    <row r="1199" spans="6:9">
      <c r="F1199"/>
      <c r="G1199"/>
      <c r="H1199"/>
      <c r="I1199"/>
    </row>
    <row r="1200" spans="6:9">
      <c r="F1200"/>
      <c r="G1200"/>
      <c r="H1200"/>
      <c r="I1200"/>
    </row>
    <row r="1201" spans="6:9">
      <c r="F1201"/>
      <c r="G1201"/>
      <c r="H1201"/>
      <c r="I1201"/>
    </row>
    <row r="1202" spans="6:9">
      <c r="F1202"/>
      <c r="G1202"/>
      <c r="H1202"/>
      <c r="I1202"/>
    </row>
    <row r="1203" spans="6:9">
      <c r="F1203"/>
      <c r="G1203"/>
      <c r="H1203"/>
      <c r="I1203"/>
    </row>
    <row r="1204" spans="6:9">
      <c r="F1204"/>
      <c r="G1204"/>
      <c r="H1204"/>
      <c r="I1204"/>
    </row>
    <row r="1205" spans="6:9">
      <c r="F1205"/>
      <c r="G1205"/>
      <c r="H1205"/>
      <c r="I1205"/>
    </row>
    <row r="1206" spans="6:9">
      <c r="F1206"/>
      <c r="G1206"/>
      <c r="H1206"/>
      <c r="I1206"/>
    </row>
    <row r="1207" spans="6:9">
      <c r="F1207"/>
      <c r="G1207"/>
      <c r="H1207"/>
      <c r="I1207"/>
    </row>
    <row r="1208" spans="6:9">
      <c r="F1208"/>
      <c r="G1208"/>
      <c r="H1208"/>
      <c r="I1208"/>
    </row>
    <row r="1209" spans="6:9">
      <c r="F1209"/>
      <c r="G1209"/>
      <c r="H1209"/>
      <c r="I1209"/>
    </row>
    <row r="1210" spans="6:9">
      <c r="F1210"/>
      <c r="G1210"/>
      <c r="H1210"/>
      <c r="I1210"/>
    </row>
    <row r="1211" spans="6:9">
      <c r="F1211"/>
      <c r="G1211"/>
      <c r="H1211"/>
      <c r="I1211"/>
    </row>
    <row r="1212" spans="6:9">
      <c r="F1212"/>
      <c r="G1212"/>
      <c r="H1212"/>
      <c r="I1212"/>
    </row>
    <row r="1213" spans="6:9">
      <c r="F1213"/>
      <c r="G1213"/>
      <c r="H1213"/>
      <c r="I1213"/>
    </row>
    <row r="1214" spans="6:9">
      <c r="F1214"/>
      <c r="G1214"/>
      <c r="H1214"/>
      <c r="I1214"/>
    </row>
    <row r="1215" spans="6:9">
      <c r="F1215"/>
      <c r="G1215"/>
      <c r="H1215"/>
      <c r="I1215"/>
    </row>
    <row r="1216" spans="6:9">
      <c r="F1216"/>
      <c r="G1216"/>
      <c r="H1216"/>
      <c r="I1216"/>
    </row>
    <row r="1217" spans="6:9">
      <c r="F1217"/>
      <c r="G1217"/>
      <c r="H1217"/>
      <c r="I1217"/>
    </row>
    <row r="1218" spans="6:9">
      <c r="F1218"/>
      <c r="G1218"/>
      <c r="H1218"/>
      <c r="I1218"/>
    </row>
    <row r="1219" spans="6:9">
      <c r="F1219"/>
      <c r="G1219"/>
      <c r="H1219"/>
      <c r="I1219"/>
    </row>
    <row r="1220" spans="6:9">
      <c r="F1220"/>
      <c r="G1220"/>
      <c r="H1220"/>
      <c r="I1220"/>
    </row>
    <row r="1221" spans="6:9">
      <c r="F1221"/>
      <c r="G1221"/>
      <c r="H1221"/>
      <c r="I1221"/>
    </row>
    <row r="1222" spans="6:9">
      <c r="F1222"/>
      <c r="G1222"/>
      <c r="H1222"/>
      <c r="I1222"/>
    </row>
    <row r="1223" spans="6:9">
      <c r="F1223"/>
      <c r="G1223"/>
      <c r="H1223"/>
      <c r="I1223"/>
    </row>
    <row r="1224" spans="6:9">
      <c r="F1224"/>
      <c r="G1224"/>
      <c r="H1224"/>
      <c r="I1224"/>
    </row>
    <row r="1225" spans="6:9">
      <c r="F1225"/>
      <c r="G1225"/>
      <c r="H1225"/>
      <c r="I1225"/>
    </row>
    <row r="1226" spans="6:9">
      <c r="F1226"/>
      <c r="G1226"/>
      <c r="H1226"/>
      <c r="I1226"/>
    </row>
    <row r="1227" spans="6:9">
      <c r="F1227"/>
      <c r="G1227"/>
      <c r="H1227"/>
      <c r="I1227"/>
    </row>
    <row r="1228" spans="6:9">
      <c r="F1228"/>
      <c r="G1228"/>
      <c r="H1228"/>
      <c r="I1228"/>
    </row>
    <row r="1229" spans="6:9">
      <c r="F1229"/>
      <c r="G1229"/>
      <c r="H1229"/>
      <c r="I1229"/>
    </row>
    <row r="1230" spans="6:9">
      <c r="F1230"/>
      <c r="G1230"/>
      <c r="H1230"/>
      <c r="I1230"/>
    </row>
    <row r="1231" spans="6:9">
      <c r="F1231"/>
      <c r="G1231"/>
      <c r="H1231"/>
      <c r="I1231"/>
    </row>
    <row r="1232" spans="6:9">
      <c r="F1232"/>
      <c r="G1232"/>
      <c r="H1232"/>
      <c r="I1232"/>
    </row>
    <row r="1233" spans="6:9">
      <c r="F1233"/>
      <c r="G1233"/>
      <c r="H1233"/>
      <c r="I1233"/>
    </row>
    <row r="1234" spans="6:9">
      <c r="F1234"/>
      <c r="G1234"/>
      <c r="H1234"/>
      <c r="I1234"/>
    </row>
    <row r="1235" spans="6:9">
      <c r="F1235"/>
      <c r="G1235"/>
      <c r="H1235"/>
      <c r="I1235"/>
    </row>
    <row r="1236" spans="6:9">
      <c r="F1236"/>
      <c r="G1236"/>
      <c r="H1236"/>
      <c r="I1236"/>
    </row>
    <row r="1237" spans="6:9">
      <c r="F1237"/>
      <c r="G1237"/>
      <c r="H1237"/>
      <c r="I1237"/>
    </row>
    <row r="1238" spans="6:9">
      <c r="F1238"/>
      <c r="G1238"/>
      <c r="H1238"/>
      <c r="I1238"/>
    </row>
    <row r="1239" spans="6:9">
      <c r="F1239"/>
      <c r="G1239"/>
      <c r="H1239"/>
      <c r="I1239"/>
    </row>
    <row r="1240" spans="6:9">
      <c r="F1240"/>
      <c r="G1240"/>
      <c r="H1240"/>
      <c r="I1240"/>
    </row>
    <row r="1241" spans="6:9">
      <c r="F1241"/>
      <c r="G1241"/>
      <c r="H1241"/>
      <c r="I1241"/>
    </row>
    <row r="1242" spans="6:9">
      <c r="F1242"/>
      <c r="G1242"/>
      <c r="H1242"/>
      <c r="I1242"/>
    </row>
    <row r="1243" spans="6:9">
      <c r="F1243"/>
      <c r="G1243"/>
      <c r="H1243"/>
      <c r="I1243"/>
    </row>
    <row r="1244" spans="6:9">
      <c r="F1244"/>
      <c r="G1244"/>
      <c r="H1244"/>
      <c r="I1244"/>
    </row>
    <row r="1245" spans="6:9">
      <c r="F1245"/>
      <c r="G1245"/>
      <c r="H1245"/>
      <c r="I1245"/>
    </row>
    <row r="1246" spans="6:9">
      <c r="F1246"/>
      <c r="G1246"/>
      <c r="H1246"/>
      <c r="I1246"/>
    </row>
    <row r="1247" spans="6:9">
      <c r="F1247"/>
      <c r="G1247"/>
      <c r="H1247"/>
      <c r="I1247"/>
    </row>
    <row r="1248" spans="6:9">
      <c r="F1248"/>
      <c r="G1248"/>
      <c r="H1248"/>
      <c r="I1248"/>
    </row>
    <row r="1249" spans="6:9">
      <c r="F1249"/>
      <c r="G1249"/>
      <c r="H1249"/>
      <c r="I1249"/>
    </row>
    <row r="1250" spans="6:9">
      <c r="F1250"/>
      <c r="G1250"/>
      <c r="H1250"/>
      <c r="I1250"/>
    </row>
    <row r="1251" spans="6:9">
      <c r="F1251"/>
      <c r="G1251"/>
      <c r="H1251"/>
      <c r="I1251"/>
    </row>
    <row r="1252" spans="6:9">
      <c r="F1252"/>
      <c r="G1252"/>
      <c r="H1252"/>
      <c r="I1252"/>
    </row>
    <row r="1253" spans="6:9">
      <c r="F1253"/>
      <c r="G1253"/>
      <c r="H1253"/>
      <c r="I1253"/>
    </row>
    <row r="1254" spans="6:9">
      <c r="F1254"/>
      <c r="G1254"/>
      <c r="H1254"/>
      <c r="I1254"/>
    </row>
    <row r="1255" spans="6:9">
      <c r="F1255"/>
      <c r="G1255"/>
      <c r="H1255"/>
      <c r="I1255"/>
    </row>
    <row r="1256" spans="6:9">
      <c r="F1256"/>
      <c r="G1256"/>
      <c r="H1256"/>
      <c r="I1256"/>
    </row>
    <row r="1257" spans="6:9">
      <c r="F1257"/>
      <c r="G1257"/>
      <c r="H1257"/>
      <c r="I1257"/>
    </row>
    <row r="1258" spans="6:9">
      <c r="F1258"/>
      <c r="G1258"/>
      <c r="H1258"/>
      <c r="I1258"/>
    </row>
    <row r="1259" spans="6:9">
      <c r="F1259"/>
      <c r="G1259"/>
      <c r="H1259"/>
      <c r="I1259"/>
    </row>
    <row r="1260" spans="6:9">
      <c r="F1260"/>
      <c r="G1260"/>
      <c r="H1260"/>
      <c r="I1260"/>
    </row>
    <row r="1261" spans="6:9">
      <c r="F1261"/>
      <c r="G1261"/>
      <c r="H1261"/>
      <c r="I1261"/>
    </row>
    <row r="1262" spans="6:9">
      <c r="F1262"/>
      <c r="G1262"/>
      <c r="H1262"/>
      <c r="I1262"/>
    </row>
    <row r="1263" spans="6:9">
      <c r="F1263"/>
      <c r="G1263"/>
      <c r="H1263"/>
      <c r="I1263"/>
    </row>
    <row r="1264" spans="6:9">
      <c r="F1264"/>
      <c r="G1264"/>
      <c r="H1264"/>
      <c r="I1264"/>
    </row>
    <row r="1265" spans="6:9">
      <c r="F1265"/>
      <c r="G1265"/>
      <c r="H1265"/>
      <c r="I1265"/>
    </row>
    <row r="1266" spans="6:9">
      <c r="F1266"/>
      <c r="G1266"/>
      <c r="H1266"/>
      <c r="I1266"/>
    </row>
    <row r="1267" spans="6:9">
      <c r="F1267"/>
      <c r="G1267"/>
      <c r="H1267"/>
      <c r="I1267"/>
    </row>
    <row r="1268" spans="6:9">
      <c r="F1268"/>
      <c r="G1268"/>
      <c r="H1268"/>
      <c r="I1268"/>
    </row>
    <row r="1269" spans="6:9">
      <c r="F1269"/>
      <c r="G1269"/>
      <c r="H1269"/>
      <c r="I1269"/>
    </row>
    <row r="1270" spans="6:9">
      <c r="F1270"/>
      <c r="G1270"/>
      <c r="H1270"/>
      <c r="I1270"/>
    </row>
    <row r="1271" spans="6:9">
      <c r="F1271"/>
      <c r="G1271"/>
      <c r="H1271"/>
      <c r="I1271"/>
    </row>
    <row r="1272" spans="6:9">
      <c r="F1272"/>
      <c r="G1272"/>
      <c r="H1272"/>
      <c r="I1272"/>
    </row>
    <row r="1273" spans="6:9">
      <c r="F1273"/>
      <c r="G1273"/>
      <c r="H1273"/>
      <c r="I1273"/>
    </row>
    <row r="1274" spans="6:9">
      <c r="F1274"/>
      <c r="G1274"/>
      <c r="H1274"/>
      <c r="I1274"/>
    </row>
    <row r="1275" spans="6:9">
      <c r="F1275"/>
      <c r="G1275"/>
      <c r="H1275"/>
      <c r="I1275"/>
    </row>
    <row r="1276" spans="6:9">
      <c r="F1276"/>
      <c r="G1276"/>
      <c r="H1276"/>
      <c r="I1276"/>
    </row>
    <row r="1277" spans="6:9">
      <c r="F1277"/>
      <c r="G1277"/>
      <c r="H1277"/>
      <c r="I1277"/>
    </row>
    <row r="1278" spans="6:9">
      <c r="F1278"/>
      <c r="G1278"/>
      <c r="H1278"/>
      <c r="I1278"/>
    </row>
    <row r="1279" spans="6:9">
      <c r="F1279"/>
      <c r="G1279"/>
      <c r="H1279"/>
      <c r="I1279"/>
    </row>
    <row r="1280" spans="6:9">
      <c r="F1280"/>
      <c r="G1280"/>
      <c r="H1280"/>
      <c r="I1280"/>
    </row>
    <row r="1281" spans="6:9">
      <c r="F1281"/>
      <c r="G1281"/>
      <c r="H1281"/>
      <c r="I1281"/>
    </row>
    <row r="1282" spans="6:9">
      <c r="F1282"/>
      <c r="G1282"/>
      <c r="H1282"/>
      <c r="I1282"/>
    </row>
    <row r="1283" spans="6:9">
      <c r="F1283"/>
      <c r="G1283"/>
      <c r="H1283"/>
      <c r="I1283"/>
    </row>
    <row r="1284" spans="6:9">
      <c r="F1284"/>
      <c r="G1284"/>
      <c r="H1284"/>
      <c r="I1284"/>
    </row>
    <row r="1285" spans="6:9">
      <c r="F1285"/>
      <c r="G1285"/>
      <c r="H1285"/>
      <c r="I1285"/>
    </row>
    <row r="1286" spans="6:9">
      <c r="F1286"/>
      <c r="G1286"/>
      <c r="H1286"/>
      <c r="I1286"/>
    </row>
    <row r="1287" spans="6:9">
      <c r="F1287"/>
      <c r="G1287"/>
      <c r="H1287"/>
      <c r="I1287"/>
    </row>
    <row r="1288" spans="6:9">
      <c r="F1288"/>
      <c r="G1288"/>
      <c r="H1288"/>
      <c r="I1288"/>
    </row>
    <row r="1289" spans="6:9">
      <c r="F1289"/>
      <c r="G1289"/>
      <c r="H1289"/>
      <c r="I1289"/>
    </row>
    <row r="1290" spans="6:9">
      <c r="F1290"/>
      <c r="G1290"/>
      <c r="H1290"/>
      <c r="I1290"/>
    </row>
    <row r="1291" spans="6:9">
      <c r="F1291"/>
      <c r="G1291"/>
      <c r="H1291"/>
      <c r="I1291"/>
    </row>
    <row r="1292" spans="6:9">
      <c r="F1292"/>
      <c r="G1292"/>
      <c r="H1292"/>
      <c r="I1292"/>
    </row>
    <row r="1293" spans="6:9">
      <c r="F1293"/>
      <c r="G1293"/>
      <c r="H1293"/>
      <c r="I1293"/>
    </row>
    <row r="1294" spans="6:9">
      <c r="F1294"/>
      <c r="G1294"/>
      <c r="H1294"/>
      <c r="I1294"/>
    </row>
    <row r="1295" spans="6:9">
      <c r="F1295"/>
      <c r="G1295"/>
      <c r="H1295"/>
      <c r="I1295"/>
    </row>
    <row r="1296" spans="6:9">
      <c r="F1296"/>
      <c r="G1296"/>
      <c r="H1296"/>
      <c r="I1296"/>
    </row>
    <row r="1297" spans="6:9">
      <c r="F1297"/>
      <c r="G1297"/>
      <c r="H1297"/>
      <c r="I1297"/>
    </row>
    <row r="1298" spans="6:9">
      <c r="F1298"/>
      <c r="G1298"/>
      <c r="H1298"/>
      <c r="I1298"/>
    </row>
    <row r="1299" spans="6:9">
      <c r="F1299"/>
      <c r="G1299"/>
      <c r="H1299"/>
      <c r="I1299"/>
    </row>
    <row r="1300" spans="6:9">
      <c r="F1300"/>
      <c r="G1300"/>
      <c r="H1300"/>
      <c r="I1300"/>
    </row>
    <row r="1301" spans="6:9">
      <c r="F1301"/>
      <c r="G1301"/>
      <c r="H1301"/>
      <c r="I1301"/>
    </row>
    <row r="1302" spans="6:9">
      <c r="F1302"/>
      <c r="G1302"/>
      <c r="H1302"/>
      <c r="I1302"/>
    </row>
    <row r="1303" spans="6:9">
      <c r="F1303"/>
      <c r="G1303"/>
      <c r="H1303"/>
      <c r="I1303"/>
    </row>
    <row r="1304" spans="6:9">
      <c r="F1304"/>
      <c r="G1304"/>
      <c r="H1304"/>
      <c r="I1304"/>
    </row>
    <row r="1305" spans="6:9">
      <c r="F1305"/>
      <c r="G1305"/>
      <c r="H1305"/>
      <c r="I1305"/>
    </row>
    <row r="1306" spans="6:9">
      <c r="F1306"/>
      <c r="G1306"/>
      <c r="H1306"/>
      <c r="I1306"/>
    </row>
    <row r="1307" spans="6:9">
      <c r="F1307"/>
      <c r="G1307"/>
      <c r="H1307"/>
      <c r="I1307"/>
    </row>
    <row r="1308" spans="6:9">
      <c r="F1308"/>
      <c r="G1308"/>
      <c r="H1308"/>
      <c r="I1308"/>
    </row>
    <row r="1309" spans="6:9">
      <c r="F1309"/>
      <c r="G1309"/>
      <c r="H1309"/>
      <c r="I1309"/>
    </row>
    <row r="1310" spans="6:9">
      <c r="F1310"/>
      <c r="G1310"/>
      <c r="H1310"/>
      <c r="I1310"/>
    </row>
    <row r="1311" spans="6:9">
      <c r="F1311"/>
      <c r="G1311"/>
      <c r="H1311"/>
      <c r="I1311"/>
    </row>
    <row r="1312" spans="6:9">
      <c r="F1312"/>
      <c r="G1312"/>
      <c r="H1312"/>
      <c r="I1312"/>
    </row>
    <row r="1313" spans="6:9">
      <c r="F1313"/>
      <c r="G1313"/>
      <c r="H1313"/>
      <c r="I1313"/>
    </row>
    <row r="1314" spans="6:9">
      <c r="F1314"/>
      <c r="G1314"/>
      <c r="H1314"/>
      <c r="I1314"/>
    </row>
    <row r="1315" spans="6:9">
      <c r="F1315"/>
      <c r="G1315"/>
      <c r="H1315"/>
      <c r="I1315"/>
    </row>
    <row r="1316" spans="6:9">
      <c r="F1316"/>
      <c r="G1316"/>
      <c r="H1316"/>
      <c r="I1316"/>
    </row>
    <row r="1317" spans="6:9">
      <c r="F1317"/>
      <c r="G1317"/>
      <c r="H1317"/>
      <c r="I1317"/>
    </row>
    <row r="1318" spans="6:9">
      <c r="F1318"/>
      <c r="G1318"/>
      <c r="H1318"/>
      <c r="I1318"/>
    </row>
    <row r="1319" spans="6:9">
      <c r="F1319"/>
      <c r="G1319"/>
      <c r="H1319"/>
      <c r="I1319"/>
    </row>
    <row r="1320" spans="6:9">
      <c r="F1320"/>
      <c r="G1320"/>
      <c r="H1320"/>
      <c r="I1320"/>
    </row>
    <row r="1321" spans="6:9">
      <c r="F1321"/>
      <c r="G1321"/>
      <c r="H1321"/>
      <c r="I1321"/>
    </row>
    <row r="1322" spans="6:9">
      <c r="F1322"/>
      <c r="G1322"/>
      <c r="H1322"/>
      <c r="I1322"/>
    </row>
  </sheetData>
  <mergeCells count="30">
    <mergeCell ref="H9:I9"/>
    <mergeCell ref="M106:O106"/>
    <mergeCell ref="M107:M108"/>
    <mergeCell ref="N107:N108"/>
    <mergeCell ref="O107:O108"/>
    <mergeCell ref="K107:K108"/>
    <mergeCell ref="L107:L108"/>
    <mergeCell ref="D106:L106"/>
    <mergeCell ref="J107:J108"/>
    <mergeCell ref="A106:A108"/>
    <mergeCell ref="B106:B108"/>
    <mergeCell ref="C106:C108"/>
    <mergeCell ref="D107:E107"/>
    <mergeCell ref="F107:G107"/>
    <mergeCell ref="F3:M3"/>
    <mergeCell ref="F4:M4"/>
    <mergeCell ref="F6:M6"/>
    <mergeCell ref="A8:A10"/>
    <mergeCell ref="B8:B10"/>
    <mergeCell ref="C8:C10"/>
    <mergeCell ref="M8:O8"/>
    <mergeCell ref="D9:E9"/>
    <mergeCell ref="F9:G9"/>
    <mergeCell ref="D8:L8"/>
    <mergeCell ref="J9:J10"/>
    <mergeCell ref="M9:M10"/>
    <mergeCell ref="N9:N10"/>
    <mergeCell ref="O9:O10"/>
    <mergeCell ref="K9:K10"/>
    <mergeCell ref="L9:L1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X94"/>
  <sheetViews>
    <sheetView zoomScale="80" zoomScaleNormal="80" zoomScaleSheetLayoutView="75" workbookViewId="0">
      <pane xSplit="2" ySplit="11" topLeftCell="C34" activePane="bottomRight" state="frozen"/>
      <selection pane="topRight" activeCell="D1" sqref="D1"/>
      <selection pane="bottomLeft" activeCell="A22" sqref="A22"/>
      <selection pane="bottomRight" activeCell="A8" sqref="A8:Q48"/>
    </sheetView>
  </sheetViews>
  <sheetFormatPr defaultRowHeight="15" outlineLevelRow="1"/>
  <cols>
    <col min="1" max="1" width="6.42578125" customWidth="1"/>
    <col min="2" max="2" width="49" customWidth="1"/>
    <col min="3" max="3" width="12.5703125" customWidth="1"/>
    <col min="4" max="4" width="12" hidden="1" customWidth="1"/>
    <col min="5" max="5" width="10.7109375" hidden="1" customWidth="1"/>
    <col min="6" max="6" width="14" hidden="1" customWidth="1"/>
    <col min="7" max="7" width="12.28515625" hidden="1" customWidth="1"/>
    <col min="8" max="8" width="11.85546875" hidden="1" customWidth="1"/>
    <col min="9" max="9" width="11.42578125" hidden="1" customWidth="1"/>
    <col min="10" max="10" width="10.85546875" hidden="1" customWidth="1"/>
    <col min="11" max="11" width="12.42578125" hidden="1" customWidth="1"/>
    <col min="12" max="12" width="14.42578125" hidden="1" customWidth="1"/>
    <col min="13" max="13" width="14.5703125" hidden="1" customWidth="1"/>
    <col min="14" max="14" width="14.140625" hidden="1" customWidth="1"/>
    <col min="15" max="17" width="12.42578125" customWidth="1"/>
    <col min="18" max="18" width="18.5703125" style="1815" customWidth="1"/>
    <col min="19" max="19" width="10.5703125" customWidth="1"/>
    <col min="20" max="20" width="17" customWidth="1"/>
    <col min="22" max="23" width="11" bestFit="1" customWidth="1"/>
    <col min="245" max="245" width="7.85546875" bestFit="1" customWidth="1"/>
    <col min="246" max="246" width="64" customWidth="1"/>
    <col min="247" max="247" width="0" hidden="1" customWidth="1"/>
    <col min="248" max="248" width="18" customWidth="1"/>
    <col min="249" max="258" width="0" hidden="1" customWidth="1"/>
    <col min="259" max="259" width="16.85546875" customWidth="1"/>
    <col min="260" max="260" width="16.5703125" customWidth="1"/>
    <col min="261" max="261" width="0" hidden="1" customWidth="1"/>
    <col min="262" max="263" width="16.42578125" customWidth="1"/>
    <col min="264" max="264" width="0" hidden="1" customWidth="1"/>
    <col min="265" max="265" width="17.5703125" customWidth="1"/>
    <col min="266" max="266" width="0" hidden="1" customWidth="1"/>
    <col min="267" max="267" width="16.7109375" customWidth="1"/>
    <col min="268" max="268" width="0" hidden="1" customWidth="1"/>
    <col min="269" max="269" width="17.7109375" customWidth="1"/>
    <col min="270" max="270" width="0" hidden="1" customWidth="1"/>
    <col min="271" max="271" width="18.140625" customWidth="1"/>
    <col min="272" max="272" width="0" hidden="1" customWidth="1"/>
    <col min="273" max="273" width="16.85546875" customWidth="1"/>
    <col min="278" max="279" width="11" bestFit="1" customWidth="1"/>
    <col min="501" max="501" width="7.85546875" bestFit="1" customWidth="1"/>
    <col min="502" max="502" width="64" customWidth="1"/>
    <col min="503" max="503" width="0" hidden="1" customWidth="1"/>
    <col min="504" max="504" width="18" customWidth="1"/>
    <col min="505" max="514" width="0" hidden="1" customWidth="1"/>
    <col min="515" max="515" width="16.85546875" customWidth="1"/>
    <col min="516" max="516" width="16.5703125" customWidth="1"/>
    <col min="517" max="517" width="0" hidden="1" customWidth="1"/>
    <col min="518" max="519" width="16.42578125" customWidth="1"/>
    <col min="520" max="520" width="0" hidden="1" customWidth="1"/>
    <col min="521" max="521" width="17.5703125" customWidth="1"/>
    <col min="522" max="522" width="0" hidden="1" customWidth="1"/>
    <col min="523" max="523" width="16.7109375" customWidth="1"/>
    <col min="524" max="524" width="0" hidden="1" customWidth="1"/>
    <col min="525" max="525" width="17.7109375" customWidth="1"/>
    <col min="526" max="526" width="0" hidden="1" customWidth="1"/>
    <col min="527" max="527" width="18.140625" customWidth="1"/>
    <col min="528" max="528" width="0" hidden="1" customWidth="1"/>
    <col min="529" max="529" width="16.85546875" customWidth="1"/>
    <col min="534" max="535" width="11" bestFit="1" customWidth="1"/>
    <col min="757" max="757" width="7.85546875" bestFit="1" customWidth="1"/>
    <col min="758" max="758" width="64" customWidth="1"/>
    <col min="759" max="759" width="0" hidden="1" customWidth="1"/>
    <col min="760" max="760" width="18" customWidth="1"/>
    <col min="761" max="770" width="0" hidden="1" customWidth="1"/>
    <col min="771" max="771" width="16.85546875" customWidth="1"/>
    <col min="772" max="772" width="16.5703125" customWidth="1"/>
    <col min="773" max="773" width="0" hidden="1" customWidth="1"/>
    <col min="774" max="775" width="16.42578125" customWidth="1"/>
    <col min="776" max="776" width="0" hidden="1" customWidth="1"/>
    <col min="777" max="777" width="17.5703125" customWidth="1"/>
    <col min="778" max="778" width="0" hidden="1" customWidth="1"/>
    <col min="779" max="779" width="16.7109375" customWidth="1"/>
    <col min="780" max="780" width="0" hidden="1" customWidth="1"/>
    <col min="781" max="781" width="17.7109375" customWidth="1"/>
    <col min="782" max="782" width="0" hidden="1" customWidth="1"/>
    <col min="783" max="783" width="18.140625" customWidth="1"/>
    <col min="784" max="784" width="0" hidden="1" customWidth="1"/>
    <col min="785" max="785" width="16.85546875" customWidth="1"/>
    <col min="790" max="791" width="11" bestFit="1" customWidth="1"/>
    <col min="1013" max="1013" width="7.85546875" bestFit="1" customWidth="1"/>
    <col min="1014" max="1014" width="64" customWidth="1"/>
    <col min="1015" max="1015" width="0" hidden="1" customWidth="1"/>
    <col min="1016" max="1016" width="18" customWidth="1"/>
    <col min="1017" max="1026" width="0" hidden="1" customWidth="1"/>
    <col min="1027" max="1027" width="16.85546875" customWidth="1"/>
    <col min="1028" max="1028" width="16.5703125" customWidth="1"/>
    <col min="1029" max="1029" width="0" hidden="1" customWidth="1"/>
    <col min="1030" max="1031" width="16.42578125" customWidth="1"/>
    <col min="1032" max="1032" width="0" hidden="1" customWidth="1"/>
    <col min="1033" max="1033" width="17.5703125" customWidth="1"/>
    <col min="1034" max="1034" width="0" hidden="1" customWidth="1"/>
    <col min="1035" max="1035" width="16.7109375" customWidth="1"/>
    <col min="1036" max="1036" width="0" hidden="1" customWidth="1"/>
    <col min="1037" max="1037" width="17.7109375" customWidth="1"/>
    <col min="1038" max="1038" width="0" hidden="1" customWidth="1"/>
    <col min="1039" max="1039" width="18.140625" customWidth="1"/>
    <col min="1040" max="1040" width="0" hidden="1" customWidth="1"/>
    <col min="1041" max="1041" width="16.85546875" customWidth="1"/>
    <col min="1046" max="1047" width="11" bestFit="1" customWidth="1"/>
    <col min="1269" max="1269" width="7.85546875" bestFit="1" customWidth="1"/>
    <col min="1270" max="1270" width="64" customWidth="1"/>
    <col min="1271" max="1271" width="0" hidden="1" customWidth="1"/>
    <col min="1272" max="1272" width="18" customWidth="1"/>
    <col min="1273" max="1282" width="0" hidden="1" customWidth="1"/>
    <col min="1283" max="1283" width="16.85546875" customWidth="1"/>
    <col min="1284" max="1284" width="16.5703125" customWidth="1"/>
    <col min="1285" max="1285" width="0" hidden="1" customWidth="1"/>
    <col min="1286" max="1287" width="16.42578125" customWidth="1"/>
    <col min="1288" max="1288" width="0" hidden="1" customWidth="1"/>
    <col min="1289" max="1289" width="17.5703125" customWidth="1"/>
    <col min="1290" max="1290" width="0" hidden="1" customWidth="1"/>
    <col min="1291" max="1291" width="16.7109375" customWidth="1"/>
    <col min="1292" max="1292" width="0" hidden="1" customWidth="1"/>
    <col min="1293" max="1293" width="17.7109375" customWidth="1"/>
    <col min="1294" max="1294" width="0" hidden="1" customWidth="1"/>
    <col min="1295" max="1295" width="18.140625" customWidth="1"/>
    <col min="1296" max="1296" width="0" hidden="1" customWidth="1"/>
    <col min="1297" max="1297" width="16.85546875" customWidth="1"/>
    <col min="1302" max="1303" width="11" bestFit="1" customWidth="1"/>
    <col min="1525" max="1525" width="7.85546875" bestFit="1" customWidth="1"/>
    <col min="1526" max="1526" width="64" customWidth="1"/>
    <col min="1527" max="1527" width="0" hidden="1" customWidth="1"/>
    <col min="1528" max="1528" width="18" customWidth="1"/>
    <col min="1529" max="1538" width="0" hidden="1" customWidth="1"/>
    <col min="1539" max="1539" width="16.85546875" customWidth="1"/>
    <col min="1540" max="1540" width="16.5703125" customWidth="1"/>
    <col min="1541" max="1541" width="0" hidden="1" customWidth="1"/>
    <col min="1542" max="1543" width="16.42578125" customWidth="1"/>
    <col min="1544" max="1544" width="0" hidden="1" customWidth="1"/>
    <col min="1545" max="1545" width="17.5703125" customWidth="1"/>
    <col min="1546" max="1546" width="0" hidden="1" customWidth="1"/>
    <col min="1547" max="1547" width="16.7109375" customWidth="1"/>
    <col min="1548" max="1548" width="0" hidden="1" customWidth="1"/>
    <col min="1549" max="1549" width="17.7109375" customWidth="1"/>
    <col min="1550" max="1550" width="0" hidden="1" customWidth="1"/>
    <col min="1551" max="1551" width="18.140625" customWidth="1"/>
    <col min="1552" max="1552" width="0" hidden="1" customWidth="1"/>
    <col min="1553" max="1553" width="16.85546875" customWidth="1"/>
    <col min="1558" max="1559" width="11" bestFit="1" customWidth="1"/>
    <col min="1781" max="1781" width="7.85546875" bestFit="1" customWidth="1"/>
    <col min="1782" max="1782" width="64" customWidth="1"/>
    <col min="1783" max="1783" width="0" hidden="1" customWidth="1"/>
    <col min="1784" max="1784" width="18" customWidth="1"/>
    <col min="1785" max="1794" width="0" hidden="1" customWidth="1"/>
    <col min="1795" max="1795" width="16.85546875" customWidth="1"/>
    <col min="1796" max="1796" width="16.5703125" customWidth="1"/>
    <col min="1797" max="1797" width="0" hidden="1" customWidth="1"/>
    <col min="1798" max="1799" width="16.42578125" customWidth="1"/>
    <col min="1800" max="1800" width="0" hidden="1" customWidth="1"/>
    <col min="1801" max="1801" width="17.5703125" customWidth="1"/>
    <col min="1802" max="1802" width="0" hidden="1" customWidth="1"/>
    <col min="1803" max="1803" width="16.7109375" customWidth="1"/>
    <col min="1804" max="1804" width="0" hidden="1" customWidth="1"/>
    <col min="1805" max="1805" width="17.7109375" customWidth="1"/>
    <col min="1806" max="1806" width="0" hidden="1" customWidth="1"/>
    <col min="1807" max="1807" width="18.140625" customWidth="1"/>
    <col min="1808" max="1808" width="0" hidden="1" customWidth="1"/>
    <col min="1809" max="1809" width="16.85546875" customWidth="1"/>
    <col min="1814" max="1815" width="11" bestFit="1" customWidth="1"/>
    <col min="2037" max="2037" width="7.85546875" bestFit="1" customWidth="1"/>
    <col min="2038" max="2038" width="64" customWidth="1"/>
    <col min="2039" max="2039" width="0" hidden="1" customWidth="1"/>
    <col min="2040" max="2040" width="18" customWidth="1"/>
    <col min="2041" max="2050" width="0" hidden="1" customWidth="1"/>
    <col min="2051" max="2051" width="16.85546875" customWidth="1"/>
    <col min="2052" max="2052" width="16.5703125" customWidth="1"/>
    <col min="2053" max="2053" width="0" hidden="1" customWidth="1"/>
    <col min="2054" max="2055" width="16.42578125" customWidth="1"/>
    <col min="2056" max="2056" width="0" hidden="1" customWidth="1"/>
    <col min="2057" max="2057" width="17.5703125" customWidth="1"/>
    <col min="2058" max="2058" width="0" hidden="1" customWidth="1"/>
    <col min="2059" max="2059" width="16.7109375" customWidth="1"/>
    <col min="2060" max="2060" width="0" hidden="1" customWidth="1"/>
    <col min="2061" max="2061" width="17.7109375" customWidth="1"/>
    <col min="2062" max="2062" width="0" hidden="1" customWidth="1"/>
    <col min="2063" max="2063" width="18.140625" customWidth="1"/>
    <col min="2064" max="2064" width="0" hidden="1" customWidth="1"/>
    <col min="2065" max="2065" width="16.85546875" customWidth="1"/>
    <col min="2070" max="2071" width="11" bestFit="1" customWidth="1"/>
    <col min="2293" max="2293" width="7.85546875" bestFit="1" customWidth="1"/>
    <col min="2294" max="2294" width="64" customWidth="1"/>
    <col min="2295" max="2295" width="0" hidden="1" customWidth="1"/>
    <col min="2296" max="2296" width="18" customWidth="1"/>
    <col min="2297" max="2306" width="0" hidden="1" customWidth="1"/>
    <col min="2307" max="2307" width="16.85546875" customWidth="1"/>
    <col min="2308" max="2308" width="16.5703125" customWidth="1"/>
    <col min="2309" max="2309" width="0" hidden="1" customWidth="1"/>
    <col min="2310" max="2311" width="16.42578125" customWidth="1"/>
    <col min="2312" max="2312" width="0" hidden="1" customWidth="1"/>
    <col min="2313" max="2313" width="17.5703125" customWidth="1"/>
    <col min="2314" max="2314" width="0" hidden="1" customWidth="1"/>
    <col min="2315" max="2315" width="16.7109375" customWidth="1"/>
    <col min="2316" max="2316" width="0" hidden="1" customWidth="1"/>
    <col min="2317" max="2317" width="17.7109375" customWidth="1"/>
    <col min="2318" max="2318" width="0" hidden="1" customWidth="1"/>
    <col min="2319" max="2319" width="18.140625" customWidth="1"/>
    <col min="2320" max="2320" width="0" hidden="1" customWidth="1"/>
    <col min="2321" max="2321" width="16.85546875" customWidth="1"/>
    <col min="2326" max="2327" width="11" bestFit="1" customWidth="1"/>
    <col min="2549" max="2549" width="7.85546875" bestFit="1" customWidth="1"/>
    <col min="2550" max="2550" width="64" customWidth="1"/>
    <col min="2551" max="2551" width="0" hidden="1" customWidth="1"/>
    <col min="2552" max="2552" width="18" customWidth="1"/>
    <col min="2553" max="2562" width="0" hidden="1" customWidth="1"/>
    <col min="2563" max="2563" width="16.85546875" customWidth="1"/>
    <col min="2564" max="2564" width="16.5703125" customWidth="1"/>
    <col min="2565" max="2565" width="0" hidden="1" customWidth="1"/>
    <col min="2566" max="2567" width="16.42578125" customWidth="1"/>
    <col min="2568" max="2568" width="0" hidden="1" customWidth="1"/>
    <col min="2569" max="2569" width="17.5703125" customWidth="1"/>
    <col min="2570" max="2570" width="0" hidden="1" customWidth="1"/>
    <col min="2571" max="2571" width="16.7109375" customWidth="1"/>
    <col min="2572" max="2572" width="0" hidden="1" customWidth="1"/>
    <col min="2573" max="2573" width="17.7109375" customWidth="1"/>
    <col min="2574" max="2574" width="0" hidden="1" customWidth="1"/>
    <col min="2575" max="2575" width="18.140625" customWidth="1"/>
    <col min="2576" max="2576" width="0" hidden="1" customWidth="1"/>
    <col min="2577" max="2577" width="16.85546875" customWidth="1"/>
    <col min="2582" max="2583" width="11" bestFit="1" customWidth="1"/>
    <col min="2805" max="2805" width="7.85546875" bestFit="1" customWidth="1"/>
    <col min="2806" max="2806" width="64" customWidth="1"/>
    <col min="2807" max="2807" width="0" hidden="1" customWidth="1"/>
    <col min="2808" max="2808" width="18" customWidth="1"/>
    <col min="2809" max="2818" width="0" hidden="1" customWidth="1"/>
    <col min="2819" max="2819" width="16.85546875" customWidth="1"/>
    <col min="2820" max="2820" width="16.5703125" customWidth="1"/>
    <col min="2821" max="2821" width="0" hidden="1" customWidth="1"/>
    <col min="2822" max="2823" width="16.42578125" customWidth="1"/>
    <col min="2824" max="2824" width="0" hidden="1" customWidth="1"/>
    <col min="2825" max="2825" width="17.5703125" customWidth="1"/>
    <col min="2826" max="2826" width="0" hidden="1" customWidth="1"/>
    <col min="2827" max="2827" width="16.7109375" customWidth="1"/>
    <col min="2828" max="2828" width="0" hidden="1" customWidth="1"/>
    <col min="2829" max="2829" width="17.7109375" customWidth="1"/>
    <col min="2830" max="2830" width="0" hidden="1" customWidth="1"/>
    <col min="2831" max="2831" width="18.140625" customWidth="1"/>
    <col min="2832" max="2832" width="0" hidden="1" customWidth="1"/>
    <col min="2833" max="2833" width="16.85546875" customWidth="1"/>
    <col min="2838" max="2839" width="11" bestFit="1" customWidth="1"/>
    <col min="3061" max="3061" width="7.85546875" bestFit="1" customWidth="1"/>
    <col min="3062" max="3062" width="64" customWidth="1"/>
    <col min="3063" max="3063" width="0" hidden="1" customWidth="1"/>
    <col min="3064" max="3064" width="18" customWidth="1"/>
    <col min="3065" max="3074" width="0" hidden="1" customWidth="1"/>
    <col min="3075" max="3075" width="16.85546875" customWidth="1"/>
    <col min="3076" max="3076" width="16.5703125" customWidth="1"/>
    <col min="3077" max="3077" width="0" hidden="1" customWidth="1"/>
    <col min="3078" max="3079" width="16.42578125" customWidth="1"/>
    <col min="3080" max="3080" width="0" hidden="1" customWidth="1"/>
    <col min="3081" max="3081" width="17.5703125" customWidth="1"/>
    <col min="3082" max="3082" width="0" hidden="1" customWidth="1"/>
    <col min="3083" max="3083" width="16.7109375" customWidth="1"/>
    <col min="3084" max="3084" width="0" hidden="1" customWidth="1"/>
    <col min="3085" max="3085" width="17.7109375" customWidth="1"/>
    <col min="3086" max="3086" width="0" hidden="1" customWidth="1"/>
    <col min="3087" max="3087" width="18.140625" customWidth="1"/>
    <col min="3088" max="3088" width="0" hidden="1" customWidth="1"/>
    <col min="3089" max="3089" width="16.85546875" customWidth="1"/>
    <col min="3094" max="3095" width="11" bestFit="1" customWidth="1"/>
    <col min="3317" max="3317" width="7.85546875" bestFit="1" customWidth="1"/>
    <col min="3318" max="3318" width="64" customWidth="1"/>
    <col min="3319" max="3319" width="0" hidden="1" customWidth="1"/>
    <col min="3320" max="3320" width="18" customWidth="1"/>
    <col min="3321" max="3330" width="0" hidden="1" customWidth="1"/>
    <col min="3331" max="3331" width="16.85546875" customWidth="1"/>
    <col min="3332" max="3332" width="16.5703125" customWidth="1"/>
    <col min="3333" max="3333" width="0" hidden="1" customWidth="1"/>
    <col min="3334" max="3335" width="16.42578125" customWidth="1"/>
    <col min="3336" max="3336" width="0" hidden="1" customWidth="1"/>
    <col min="3337" max="3337" width="17.5703125" customWidth="1"/>
    <col min="3338" max="3338" width="0" hidden="1" customWidth="1"/>
    <col min="3339" max="3339" width="16.7109375" customWidth="1"/>
    <col min="3340" max="3340" width="0" hidden="1" customWidth="1"/>
    <col min="3341" max="3341" width="17.7109375" customWidth="1"/>
    <col min="3342" max="3342" width="0" hidden="1" customWidth="1"/>
    <col min="3343" max="3343" width="18.140625" customWidth="1"/>
    <col min="3344" max="3344" width="0" hidden="1" customWidth="1"/>
    <col min="3345" max="3345" width="16.85546875" customWidth="1"/>
    <col min="3350" max="3351" width="11" bestFit="1" customWidth="1"/>
    <col min="3573" max="3573" width="7.85546875" bestFit="1" customWidth="1"/>
    <col min="3574" max="3574" width="64" customWidth="1"/>
    <col min="3575" max="3575" width="0" hidden="1" customWidth="1"/>
    <col min="3576" max="3576" width="18" customWidth="1"/>
    <col min="3577" max="3586" width="0" hidden="1" customWidth="1"/>
    <col min="3587" max="3587" width="16.85546875" customWidth="1"/>
    <col min="3588" max="3588" width="16.5703125" customWidth="1"/>
    <col min="3589" max="3589" width="0" hidden="1" customWidth="1"/>
    <col min="3590" max="3591" width="16.42578125" customWidth="1"/>
    <col min="3592" max="3592" width="0" hidden="1" customWidth="1"/>
    <col min="3593" max="3593" width="17.5703125" customWidth="1"/>
    <col min="3594" max="3594" width="0" hidden="1" customWidth="1"/>
    <col min="3595" max="3595" width="16.7109375" customWidth="1"/>
    <col min="3596" max="3596" width="0" hidden="1" customWidth="1"/>
    <col min="3597" max="3597" width="17.7109375" customWidth="1"/>
    <col min="3598" max="3598" width="0" hidden="1" customWidth="1"/>
    <col min="3599" max="3599" width="18.140625" customWidth="1"/>
    <col min="3600" max="3600" width="0" hidden="1" customWidth="1"/>
    <col min="3601" max="3601" width="16.85546875" customWidth="1"/>
    <col min="3606" max="3607" width="11" bestFit="1" customWidth="1"/>
    <col min="3829" max="3829" width="7.85546875" bestFit="1" customWidth="1"/>
    <col min="3830" max="3830" width="64" customWidth="1"/>
    <col min="3831" max="3831" width="0" hidden="1" customWidth="1"/>
    <col min="3832" max="3832" width="18" customWidth="1"/>
    <col min="3833" max="3842" width="0" hidden="1" customWidth="1"/>
    <col min="3843" max="3843" width="16.85546875" customWidth="1"/>
    <col min="3844" max="3844" width="16.5703125" customWidth="1"/>
    <col min="3845" max="3845" width="0" hidden="1" customWidth="1"/>
    <col min="3846" max="3847" width="16.42578125" customWidth="1"/>
    <col min="3848" max="3848" width="0" hidden="1" customWidth="1"/>
    <col min="3849" max="3849" width="17.5703125" customWidth="1"/>
    <col min="3850" max="3850" width="0" hidden="1" customWidth="1"/>
    <col min="3851" max="3851" width="16.7109375" customWidth="1"/>
    <col min="3852" max="3852" width="0" hidden="1" customWidth="1"/>
    <col min="3853" max="3853" width="17.7109375" customWidth="1"/>
    <col min="3854" max="3854" width="0" hidden="1" customWidth="1"/>
    <col min="3855" max="3855" width="18.140625" customWidth="1"/>
    <col min="3856" max="3856" width="0" hidden="1" customWidth="1"/>
    <col min="3857" max="3857" width="16.85546875" customWidth="1"/>
    <col min="3862" max="3863" width="11" bestFit="1" customWidth="1"/>
    <col min="4085" max="4085" width="7.85546875" bestFit="1" customWidth="1"/>
    <col min="4086" max="4086" width="64" customWidth="1"/>
    <col min="4087" max="4087" width="0" hidden="1" customWidth="1"/>
    <col min="4088" max="4088" width="18" customWidth="1"/>
    <col min="4089" max="4098" width="0" hidden="1" customWidth="1"/>
    <col min="4099" max="4099" width="16.85546875" customWidth="1"/>
    <col min="4100" max="4100" width="16.5703125" customWidth="1"/>
    <col min="4101" max="4101" width="0" hidden="1" customWidth="1"/>
    <col min="4102" max="4103" width="16.42578125" customWidth="1"/>
    <col min="4104" max="4104" width="0" hidden="1" customWidth="1"/>
    <col min="4105" max="4105" width="17.5703125" customWidth="1"/>
    <col min="4106" max="4106" width="0" hidden="1" customWidth="1"/>
    <col min="4107" max="4107" width="16.7109375" customWidth="1"/>
    <col min="4108" max="4108" width="0" hidden="1" customWidth="1"/>
    <col min="4109" max="4109" width="17.7109375" customWidth="1"/>
    <col min="4110" max="4110" width="0" hidden="1" customWidth="1"/>
    <col min="4111" max="4111" width="18.140625" customWidth="1"/>
    <col min="4112" max="4112" width="0" hidden="1" customWidth="1"/>
    <col min="4113" max="4113" width="16.85546875" customWidth="1"/>
    <col min="4118" max="4119" width="11" bestFit="1" customWidth="1"/>
    <col min="4341" max="4341" width="7.85546875" bestFit="1" customWidth="1"/>
    <col min="4342" max="4342" width="64" customWidth="1"/>
    <col min="4343" max="4343" width="0" hidden="1" customWidth="1"/>
    <col min="4344" max="4344" width="18" customWidth="1"/>
    <col min="4345" max="4354" width="0" hidden="1" customWidth="1"/>
    <col min="4355" max="4355" width="16.85546875" customWidth="1"/>
    <col min="4356" max="4356" width="16.5703125" customWidth="1"/>
    <col min="4357" max="4357" width="0" hidden="1" customWidth="1"/>
    <col min="4358" max="4359" width="16.42578125" customWidth="1"/>
    <col min="4360" max="4360" width="0" hidden="1" customWidth="1"/>
    <col min="4361" max="4361" width="17.5703125" customWidth="1"/>
    <col min="4362" max="4362" width="0" hidden="1" customWidth="1"/>
    <col min="4363" max="4363" width="16.7109375" customWidth="1"/>
    <col min="4364" max="4364" width="0" hidden="1" customWidth="1"/>
    <col min="4365" max="4365" width="17.7109375" customWidth="1"/>
    <col min="4366" max="4366" width="0" hidden="1" customWidth="1"/>
    <col min="4367" max="4367" width="18.140625" customWidth="1"/>
    <col min="4368" max="4368" width="0" hidden="1" customWidth="1"/>
    <col min="4369" max="4369" width="16.85546875" customWidth="1"/>
    <col min="4374" max="4375" width="11" bestFit="1" customWidth="1"/>
    <col min="4597" max="4597" width="7.85546875" bestFit="1" customWidth="1"/>
    <col min="4598" max="4598" width="64" customWidth="1"/>
    <col min="4599" max="4599" width="0" hidden="1" customWidth="1"/>
    <col min="4600" max="4600" width="18" customWidth="1"/>
    <col min="4601" max="4610" width="0" hidden="1" customWidth="1"/>
    <col min="4611" max="4611" width="16.85546875" customWidth="1"/>
    <col min="4612" max="4612" width="16.5703125" customWidth="1"/>
    <col min="4613" max="4613" width="0" hidden="1" customWidth="1"/>
    <col min="4614" max="4615" width="16.42578125" customWidth="1"/>
    <col min="4616" max="4616" width="0" hidden="1" customWidth="1"/>
    <col min="4617" max="4617" width="17.5703125" customWidth="1"/>
    <col min="4618" max="4618" width="0" hidden="1" customWidth="1"/>
    <col min="4619" max="4619" width="16.7109375" customWidth="1"/>
    <col min="4620" max="4620" width="0" hidden="1" customWidth="1"/>
    <col min="4621" max="4621" width="17.7109375" customWidth="1"/>
    <col min="4622" max="4622" width="0" hidden="1" customWidth="1"/>
    <col min="4623" max="4623" width="18.140625" customWidth="1"/>
    <col min="4624" max="4624" width="0" hidden="1" customWidth="1"/>
    <col min="4625" max="4625" width="16.85546875" customWidth="1"/>
    <col min="4630" max="4631" width="11" bestFit="1" customWidth="1"/>
    <col min="4853" max="4853" width="7.85546875" bestFit="1" customWidth="1"/>
    <col min="4854" max="4854" width="64" customWidth="1"/>
    <col min="4855" max="4855" width="0" hidden="1" customWidth="1"/>
    <col min="4856" max="4856" width="18" customWidth="1"/>
    <col min="4857" max="4866" width="0" hidden="1" customWidth="1"/>
    <col min="4867" max="4867" width="16.85546875" customWidth="1"/>
    <col min="4868" max="4868" width="16.5703125" customWidth="1"/>
    <col min="4869" max="4869" width="0" hidden="1" customWidth="1"/>
    <col min="4870" max="4871" width="16.42578125" customWidth="1"/>
    <col min="4872" max="4872" width="0" hidden="1" customWidth="1"/>
    <col min="4873" max="4873" width="17.5703125" customWidth="1"/>
    <col min="4874" max="4874" width="0" hidden="1" customWidth="1"/>
    <col min="4875" max="4875" width="16.7109375" customWidth="1"/>
    <col min="4876" max="4876" width="0" hidden="1" customWidth="1"/>
    <col min="4877" max="4877" width="17.7109375" customWidth="1"/>
    <col min="4878" max="4878" width="0" hidden="1" customWidth="1"/>
    <col min="4879" max="4879" width="18.140625" customWidth="1"/>
    <col min="4880" max="4880" width="0" hidden="1" customWidth="1"/>
    <col min="4881" max="4881" width="16.85546875" customWidth="1"/>
    <col min="4886" max="4887" width="11" bestFit="1" customWidth="1"/>
    <col min="5109" max="5109" width="7.85546875" bestFit="1" customWidth="1"/>
    <col min="5110" max="5110" width="64" customWidth="1"/>
    <col min="5111" max="5111" width="0" hidden="1" customWidth="1"/>
    <col min="5112" max="5112" width="18" customWidth="1"/>
    <col min="5113" max="5122" width="0" hidden="1" customWidth="1"/>
    <col min="5123" max="5123" width="16.85546875" customWidth="1"/>
    <col min="5124" max="5124" width="16.5703125" customWidth="1"/>
    <col min="5125" max="5125" width="0" hidden="1" customWidth="1"/>
    <col min="5126" max="5127" width="16.42578125" customWidth="1"/>
    <col min="5128" max="5128" width="0" hidden="1" customWidth="1"/>
    <col min="5129" max="5129" width="17.5703125" customWidth="1"/>
    <col min="5130" max="5130" width="0" hidden="1" customWidth="1"/>
    <col min="5131" max="5131" width="16.7109375" customWidth="1"/>
    <col min="5132" max="5132" width="0" hidden="1" customWidth="1"/>
    <col min="5133" max="5133" width="17.7109375" customWidth="1"/>
    <col min="5134" max="5134" width="0" hidden="1" customWidth="1"/>
    <col min="5135" max="5135" width="18.140625" customWidth="1"/>
    <col min="5136" max="5136" width="0" hidden="1" customWidth="1"/>
    <col min="5137" max="5137" width="16.85546875" customWidth="1"/>
    <col min="5142" max="5143" width="11" bestFit="1" customWidth="1"/>
    <col min="5365" max="5365" width="7.85546875" bestFit="1" customWidth="1"/>
    <col min="5366" max="5366" width="64" customWidth="1"/>
    <col min="5367" max="5367" width="0" hidden="1" customWidth="1"/>
    <col min="5368" max="5368" width="18" customWidth="1"/>
    <col min="5369" max="5378" width="0" hidden="1" customWidth="1"/>
    <col min="5379" max="5379" width="16.85546875" customWidth="1"/>
    <col min="5380" max="5380" width="16.5703125" customWidth="1"/>
    <col min="5381" max="5381" width="0" hidden="1" customWidth="1"/>
    <col min="5382" max="5383" width="16.42578125" customWidth="1"/>
    <col min="5384" max="5384" width="0" hidden="1" customWidth="1"/>
    <col min="5385" max="5385" width="17.5703125" customWidth="1"/>
    <col min="5386" max="5386" width="0" hidden="1" customWidth="1"/>
    <col min="5387" max="5387" width="16.7109375" customWidth="1"/>
    <col min="5388" max="5388" width="0" hidden="1" customWidth="1"/>
    <col min="5389" max="5389" width="17.7109375" customWidth="1"/>
    <col min="5390" max="5390" width="0" hidden="1" customWidth="1"/>
    <col min="5391" max="5391" width="18.140625" customWidth="1"/>
    <col min="5392" max="5392" width="0" hidden="1" customWidth="1"/>
    <col min="5393" max="5393" width="16.85546875" customWidth="1"/>
    <col min="5398" max="5399" width="11" bestFit="1" customWidth="1"/>
    <col min="5621" max="5621" width="7.85546875" bestFit="1" customWidth="1"/>
    <col min="5622" max="5622" width="64" customWidth="1"/>
    <col min="5623" max="5623" width="0" hidden="1" customWidth="1"/>
    <col min="5624" max="5624" width="18" customWidth="1"/>
    <col min="5625" max="5634" width="0" hidden="1" customWidth="1"/>
    <col min="5635" max="5635" width="16.85546875" customWidth="1"/>
    <col min="5636" max="5636" width="16.5703125" customWidth="1"/>
    <col min="5637" max="5637" width="0" hidden="1" customWidth="1"/>
    <col min="5638" max="5639" width="16.42578125" customWidth="1"/>
    <col min="5640" max="5640" width="0" hidden="1" customWidth="1"/>
    <col min="5641" max="5641" width="17.5703125" customWidth="1"/>
    <col min="5642" max="5642" width="0" hidden="1" customWidth="1"/>
    <col min="5643" max="5643" width="16.7109375" customWidth="1"/>
    <col min="5644" max="5644" width="0" hidden="1" customWidth="1"/>
    <col min="5645" max="5645" width="17.7109375" customWidth="1"/>
    <col min="5646" max="5646" width="0" hidden="1" customWidth="1"/>
    <col min="5647" max="5647" width="18.140625" customWidth="1"/>
    <col min="5648" max="5648" width="0" hidden="1" customWidth="1"/>
    <col min="5649" max="5649" width="16.85546875" customWidth="1"/>
    <col min="5654" max="5655" width="11" bestFit="1" customWidth="1"/>
    <col min="5877" max="5877" width="7.85546875" bestFit="1" customWidth="1"/>
    <col min="5878" max="5878" width="64" customWidth="1"/>
    <col min="5879" max="5879" width="0" hidden="1" customWidth="1"/>
    <col min="5880" max="5880" width="18" customWidth="1"/>
    <col min="5881" max="5890" width="0" hidden="1" customWidth="1"/>
    <col min="5891" max="5891" width="16.85546875" customWidth="1"/>
    <col min="5892" max="5892" width="16.5703125" customWidth="1"/>
    <col min="5893" max="5893" width="0" hidden="1" customWidth="1"/>
    <col min="5894" max="5895" width="16.42578125" customWidth="1"/>
    <col min="5896" max="5896" width="0" hidden="1" customWidth="1"/>
    <col min="5897" max="5897" width="17.5703125" customWidth="1"/>
    <col min="5898" max="5898" width="0" hidden="1" customWidth="1"/>
    <col min="5899" max="5899" width="16.7109375" customWidth="1"/>
    <col min="5900" max="5900" width="0" hidden="1" customWidth="1"/>
    <col min="5901" max="5901" width="17.7109375" customWidth="1"/>
    <col min="5902" max="5902" width="0" hidden="1" customWidth="1"/>
    <col min="5903" max="5903" width="18.140625" customWidth="1"/>
    <col min="5904" max="5904" width="0" hidden="1" customWidth="1"/>
    <col min="5905" max="5905" width="16.85546875" customWidth="1"/>
    <col min="5910" max="5911" width="11" bestFit="1" customWidth="1"/>
    <col min="6133" max="6133" width="7.85546875" bestFit="1" customWidth="1"/>
    <col min="6134" max="6134" width="64" customWidth="1"/>
    <col min="6135" max="6135" width="0" hidden="1" customWidth="1"/>
    <col min="6136" max="6136" width="18" customWidth="1"/>
    <col min="6137" max="6146" width="0" hidden="1" customWidth="1"/>
    <col min="6147" max="6147" width="16.85546875" customWidth="1"/>
    <col min="6148" max="6148" width="16.5703125" customWidth="1"/>
    <col min="6149" max="6149" width="0" hidden="1" customWidth="1"/>
    <col min="6150" max="6151" width="16.42578125" customWidth="1"/>
    <col min="6152" max="6152" width="0" hidden="1" customWidth="1"/>
    <col min="6153" max="6153" width="17.5703125" customWidth="1"/>
    <col min="6154" max="6154" width="0" hidden="1" customWidth="1"/>
    <col min="6155" max="6155" width="16.7109375" customWidth="1"/>
    <col min="6156" max="6156" width="0" hidden="1" customWidth="1"/>
    <col min="6157" max="6157" width="17.7109375" customWidth="1"/>
    <col min="6158" max="6158" width="0" hidden="1" customWidth="1"/>
    <col min="6159" max="6159" width="18.140625" customWidth="1"/>
    <col min="6160" max="6160" width="0" hidden="1" customWidth="1"/>
    <col min="6161" max="6161" width="16.85546875" customWidth="1"/>
    <col min="6166" max="6167" width="11" bestFit="1" customWidth="1"/>
    <col min="6389" max="6389" width="7.85546875" bestFit="1" customWidth="1"/>
    <col min="6390" max="6390" width="64" customWidth="1"/>
    <col min="6391" max="6391" width="0" hidden="1" customWidth="1"/>
    <col min="6392" max="6392" width="18" customWidth="1"/>
    <col min="6393" max="6402" width="0" hidden="1" customWidth="1"/>
    <col min="6403" max="6403" width="16.85546875" customWidth="1"/>
    <col min="6404" max="6404" width="16.5703125" customWidth="1"/>
    <col min="6405" max="6405" width="0" hidden="1" customWidth="1"/>
    <col min="6406" max="6407" width="16.42578125" customWidth="1"/>
    <col min="6408" max="6408" width="0" hidden="1" customWidth="1"/>
    <col min="6409" max="6409" width="17.5703125" customWidth="1"/>
    <col min="6410" max="6410" width="0" hidden="1" customWidth="1"/>
    <col min="6411" max="6411" width="16.7109375" customWidth="1"/>
    <col min="6412" max="6412" width="0" hidden="1" customWidth="1"/>
    <col min="6413" max="6413" width="17.7109375" customWidth="1"/>
    <col min="6414" max="6414" width="0" hidden="1" customWidth="1"/>
    <col min="6415" max="6415" width="18.140625" customWidth="1"/>
    <col min="6416" max="6416" width="0" hidden="1" customWidth="1"/>
    <col min="6417" max="6417" width="16.85546875" customWidth="1"/>
    <col min="6422" max="6423" width="11" bestFit="1" customWidth="1"/>
    <col min="6645" max="6645" width="7.85546875" bestFit="1" customWidth="1"/>
    <col min="6646" max="6646" width="64" customWidth="1"/>
    <col min="6647" max="6647" width="0" hidden="1" customWidth="1"/>
    <col min="6648" max="6648" width="18" customWidth="1"/>
    <col min="6649" max="6658" width="0" hidden="1" customWidth="1"/>
    <col min="6659" max="6659" width="16.85546875" customWidth="1"/>
    <col min="6660" max="6660" width="16.5703125" customWidth="1"/>
    <col min="6661" max="6661" width="0" hidden="1" customWidth="1"/>
    <col min="6662" max="6663" width="16.42578125" customWidth="1"/>
    <col min="6664" max="6664" width="0" hidden="1" customWidth="1"/>
    <col min="6665" max="6665" width="17.5703125" customWidth="1"/>
    <col min="6666" max="6666" width="0" hidden="1" customWidth="1"/>
    <col min="6667" max="6667" width="16.7109375" customWidth="1"/>
    <col min="6668" max="6668" width="0" hidden="1" customWidth="1"/>
    <col min="6669" max="6669" width="17.7109375" customWidth="1"/>
    <col min="6670" max="6670" width="0" hidden="1" customWidth="1"/>
    <col min="6671" max="6671" width="18.140625" customWidth="1"/>
    <col min="6672" max="6672" width="0" hidden="1" customWidth="1"/>
    <col min="6673" max="6673" width="16.85546875" customWidth="1"/>
    <col min="6678" max="6679" width="11" bestFit="1" customWidth="1"/>
    <col min="6901" max="6901" width="7.85546875" bestFit="1" customWidth="1"/>
    <col min="6902" max="6902" width="64" customWidth="1"/>
    <col min="6903" max="6903" width="0" hidden="1" customWidth="1"/>
    <col min="6904" max="6904" width="18" customWidth="1"/>
    <col min="6905" max="6914" width="0" hidden="1" customWidth="1"/>
    <col min="6915" max="6915" width="16.85546875" customWidth="1"/>
    <col min="6916" max="6916" width="16.5703125" customWidth="1"/>
    <col min="6917" max="6917" width="0" hidden="1" customWidth="1"/>
    <col min="6918" max="6919" width="16.42578125" customWidth="1"/>
    <col min="6920" max="6920" width="0" hidden="1" customWidth="1"/>
    <col min="6921" max="6921" width="17.5703125" customWidth="1"/>
    <col min="6922" max="6922" width="0" hidden="1" customWidth="1"/>
    <col min="6923" max="6923" width="16.7109375" customWidth="1"/>
    <col min="6924" max="6924" width="0" hidden="1" customWidth="1"/>
    <col min="6925" max="6925" width="17.7109375" customWidth="1"/>
    <col min="6926" max="6926" width="0" hidden="1" customWidth="1"/>
    <col min="6927" max="6927" width="18.140625" customWidth="1"/>
    <col min="6928" max="6928" width="0" hidden="1" customWidth="1"/>
    <col min="6929" max="6929" width="16.85546875" customWidth="1"/>
    <col min="6934" max="6935" width="11" bestFit="1" customWidth="1"/>
    <col min="7157" max="7157" width="7.85546875" bestFit="1" customWidth="1"/>
    <col min="7158" max="7158" width="64" customWidth="1"/>
    <col min="7159" max="7159" width="0" hidden="1" customWidth="1"/>
    <col min="7160" max="7160" width="18" customWidth="1"/>
    <col min="7161" max="7170" width="0" hidden="1" customWidth="1"/>
    <col min="7171" max="7171" width="16.85546875" customWidth="1"/>
    <col min="7172" max="7172" width="16.5703125" customWidth="1"/>
    <col min="7173" max="7173" width="0" hidden="1" customWidth="1"/>
    <col min="7174" max="7175" width="16.42578125" customWidth="1"/>
    <col min="7176" max="7176" width="0" hidden="1" customWidth="1"/>
    <col min="7177" max="7177" width="17.5703125" customWidth="1"/>
    <col min="7178" max="7178" width="0" hidden="1" customWidth="1"/>
    <col min="7179" max="7179" width="16.7109375" customWidth="1"/>
    <col min="7180" max="7180" width="0" hidden="1" customWidth="1"/>
    <col min="7181" max="7181" width="17.7109375" customWidth="1"/>
    <col min="7182" max="7182" width="0" hidden="1" customWidth="1"/>
    <col min="7183" max="7183" width="18.140625" customWidth="1"/>
    <col min="7184" max="7184" width="0" hidden="1" customWidth="1"/>
    <col min="7185" max="7185" width="16.85546875" customWidth="1"/>
    <col min="7190" max="7191" width="11" bestFit="1" customWidth="1"/>
    <col min="7413" max="7413" width="7.85546875" bestFit="1" customWidth="1"/>
    <col min="7414" max="7414" width="64" customWidth="1"/>
    <col min="7415" max="7415" width="0" hidden="1" customWidth="1"/>
    <col min="7416" max="7416" width="18" customWidth="1"/>
    <col min="7417" max="7426" width="0" hidden="1" customWidth="1"/>
    <col min="7427" max="7427" width="16.85546875" customWidth="1"/>
    <col min="7428" max="7428" width="16.5703125" customWidth="1"/>
    <col min="7429" max="7429" width="0" hidden="1" customWidth="1"/>
    <col min="7430" max="7431" width="16.42578125" customWidth="1"/>
    <col min="7432" max="7432" width="0" hidden="1" customWidth="1"/>
    <col min="7433" max="7433" width="17.5703125" customWidth="1"/>
    <col min="7434" max="7434" width="0" hidden="1" customWidth="1"/>
    <col min="7435" max="7435" width="16.7109375" customWidth="1"/>
    <col min="7436" max="7436" width="0" hidden="1" customWidth="1"/>
    <col min="7437" max="7437" width="17.7109375" customWidth="1"/>
    <col min="7438" max="7438" width="0" hidden="1" customWidth="1"/>
    <col min="7439" max="7439" width="18.140625" customWidth="1"/>
    <col min="7440" max="7440" width="0" hidden="1" customWidth="1"/>
    <col min="7441" max="7441" width="16.85546875" customWidth="1"/>
    <col min="7446" max="7447" width="11" bestFit="1" customWidth="1"/>
    <col min="7669" max="7669" width="7.85546875" bestFit="1" customWidth="1"/>
    <col min="7670" max="7670" width="64" customWidth="1"/>
    <col min="7671" max="7671" width="0" hidden="1" customWidth="1"/>
    <col min="7672" max="7672" width="18" customWidth="1"/>
    <col min="7673" max="7682" width="0" hidden="1" customWidth="1"/>
    <col min="7683" max="7683" width="16.85546875" customWidth="1"/>
    <col min="7684" max="7684" width="16.5703125" customWidth="1"/>
    <col min="7685" max="7685" width="0" hidden="1" customWidth="1"/>
    <col min="7686" max="7687" width="16.42578125" customWidth="1"/>
    <col min="7688" max="7688" width="0" hidden="1" customWidth="1"/>
    <col min="7689" max="7689" width="17.5703125" customWidth="1"/>
    <col min="7690" max="7690" width="0" hidden="1" customWidth="1"/>
    <col min="7691" max="7691" width="16.7109375" customWidth="1"/>
    <col min="7692" max="7692" width="0" hidden="1" customWidth="1"/>
    <col min="7693" max="7693" width="17.7109375" customWidth="1"/>
    <col min="7694" max="7694" width="0" hidden="1" customWidth="1"/>
    <col min="7695" max="7695" width="18.140625" customWidth="1"/>
    <col min="7696" max="7696" width="0" hidden="1" customWidth="1"/>
    <col min="7697" max="7697" width="16.85546875" customWidth="1"/>
    <col min="7702" max="7703" width="11" bestFit="1" customWidth="1"/>
    <col min="7925" max="7925" width="7.85546875" bestFit="1" customWidth="1"/>
    <col min="7926" max="7926" width="64" customWidth="1"/>
    <col min="7927" max="7927" width="0" hidden="1" customWidth="1"/>
    <col min="7928" max="7928" width="18" customWidth="1"/>
    <col min="7929" max="7938" width="0" hidden="1" customWidth="1"/>
    <col min="7939" max="7939" width="16.85546875" customWidth="1"/>
    <col min="7940" max="7940" width="16.5703125" customWidth="1"/>
    <col min="7941" max="7941" width="0" hidden="1" customWidth="1"/>
    <col min="7942" max="7943" width="16.42578125" customWidth="1"/>
    <col min="7944" max="7944" width="0" hidden="1" customWidth="1"/>
    <col min="7945" max="7945" width="17.5703125" customWidth="1"/>
    <col min="7946" max="7946" width="0" hidden="1" customWidth="1"/>
    <col min="7947" max="7947" width="16.7109375" customWidth="1"/>
    <col min="7948" max="7948" width="0" hidden="1" customWidth="1"/>
    <col min="7949" max="7949" width="17.7109375" customWidth="1"/>
    <col min="7950" max="7950" width="0" hidden="1" customWidth="1"/>
    <col min="7951" max="7951" width="18.140625" customWidth="1"/>
    <col min="7952" max="7952" width="0" hidden="1" customWidth="1"/>
    <col min="7953" max="7953" width="16.85546875" customWidth="1"/>
    <col min="7958" max="7959" width="11" bestFit="1" customWidth="1"/>
    <col min="8181" max="8181" width="7.85546875" bestFit="1" customWidth="1"/>
    <col min="8182" max="8182" width="64" customWidth="1"/>
    <col min="8183" max="8183" width="0" hidden="1" customWidth="1"/>
    <col min="8184" max="8184" width="18" customWidth="1"/>
    <col min="8185" max="8194" width="0" hidden="1" customWidth="1"/>
    <col min="8195" max="8195" width="16.85546875" customWidth="1"/>
    <col min="8196" max="8196" width="16.5703125" customWidth="1"/>
    <col min="8197" max="8197" width="0" hidden="1" customWidth="1"/>
    <col min="8198" max="8199" width="16.42578125" customWidth="1"/>
    <col min="8200" max="8200" width="0" hidden="1" customWidth="1"/>
    <col min="8201" max="8201" width="17.5703125" customWidth="1"/>
    <col min="8202" max="8202" width="0" hidden="1" customWidth="1"/>
    <col min="8203" max="8203" width="16.7109375" customWidth="1"/>
    <col min="8204" max="8204" width="0" hidden="1" customWidth="1"/>
    <col min="8205" max="8205" width="17.7109375" customWidth="1"/>
    <col min="8206" max="8206" width="0" hidden="1" customWidth="1"/>
    <col min="8207" max="8207" width="18.140625" customWidth="1"/>
    <col min="8208" max="8208" width="0" hidden="1" customWidth="1"/>
    <col min="8209" max="8209" width="16.85546875" customWidth="1"/>
    <col min="8214" max="8215" width="11" bestFit="1" customWidth="1"/>
    <col min="8437" max="8437" width="7.85546875" bestFit="1" customWidth="1"/>
    <col min="8438" max="8438" width="64" customWidth="1"/>
    <col min="8439" max="8439" width="0" hidden="1" customWidth="1"/>
    <col min="8440" max="8440" width="18" customWidth="1"/>
    <col min="8441" max="8450" width="0" hidden="1" customWidth="1"/>
    <col min="8451" max="8451" width="16.85546875" customWidth="1"/>
    <col min="8452" max="8452" width="16.5703125" customWidth="1"/>
    <col min="8453" max="8453" width="0" hidden="1" customWidth="1"/>
    <col min="8454" max="8455" width="16.42578125" customWidth="1"/>
    <col min="8456" max="8456" width="0" hidden="1" customWidth="1"/>
    <col min="8457" max="8457" width="17.5703125" customWidth="1"/>
    <col min="8458" max="8458" width="0" hidden="1" customWidth="1"/>
    <col min="8459" max="8459" width="16.7109375" customWidth="1"/>
    <col min="8460" max="8460" width="0" hidden="1" customWidth="1"/>
    <col min="8461" max="8461" width="17.7109375" customWidth="1"/>
    <col min="8462" max="8462" width="0" hidden="1" customWidth="1"/>
    <col min="8463" max="8463" width="18.140625" customWidth="1"/>
    <col min="8464" max="8464" width="0" hidden="1" customWidth="1"/>
    <col min="8465" max="8465" width="16.85546875" customWidth="1"/>
    <col min="8470" max="8471" width="11" bestFit="1" customWidth="1"/>
    <col min="8693" max="8693" width="7.85546875" bestFit="1" customWidth="1"/>
    <col min="8694" max="8694" width="64" customWidth="1"/>
    <col min="8695" max="8695" width="0" hidden="1" customWidth="1"/>
    <col min="8696" max="8696" width="18" customWidth="1"/>
    <col min="8697" max="8706" width="0" hidden="1" customWidth="1"/>
    <col min="8707" max="8707" width="16.85546875" customWidth="1"/>
    <col min="8708" max="8708" width="16.5703125" customWidth="1"/>
    <col min="8709" max="8709" width="0" hidden="1" customWidth="1"/>
    <col min="8710" max="8711" width="16.42578125" customWidth="1"/>
    <col min="8712" max="8712" width="0" hidden="1" customWidth="1"/>
    <col min="8713" max="8713" width="17.5703125" customWidth="1"/>
    <col min="8714" max="8714" width="0" hidden="1" customWidth="1"/>
    <col min="8715" max="8715" width="16.7109375" customWidth="1"/>
    <col min="8716" max="8716" width="0" hidden="1" customWidth="1"/>
    <col min="8717" max="8717" width="17.7109375" customWidth="1"/>
    <col min="8718" max="8718" width="0" hidden="1" customWidth="1"/>
    <col min="8719" max="8719" width="18.140625" customWidth="1"/>
    <col min="8720" max="8720" width="0" hidden="1" customWidth="1"/>
    <col min="8721" max="8721" width="16.85546875" customWidth="1"/>
    <col min="8726" max="8727" width="11" bestFit="1" customWidth="1"/>
    <col min="8949" max="8949" width="7.85546875" bestFit="1" customWidth="1"/>
    <col min="8950" max="8950" width="64" customWidth="1"/>
    <col min="8951" max="8951" width="0" hidden="1" customWidth="1"/>
    <col min="8952" max="8952" width="18" customWidth="1"/>
    <col min="8953" max="8962" width="0" hidden="1" customWidth="1"/>
    <col min="8963" max="8963" width="16.85546875" customWidth="1"/>
    <col min="8964" max="8964" width="16.5703125" customWidth="1"/>
    <col min="8965" max="8965" width="0" hidden="1" customWidth="1"/>
    <col min="8966" max="8967" width="16.42578125" customWidth="1"/>
    <col min="8968" max="8968" width="0" hidden="1" customWidth="1"/>
    <col min="8969" max="8969" width="17.5703125" customWidth="1"/>
    <col min="8970" max="8970" width="0" hidden="1" customWidth="1"/>
    <col min="8971" max="8971" width="16.7109375" customWidth="1"/>
    <col min="8972" max="8972" width="0" hidden="1" customWidth="1"/>
    <col min="8973" max="8973" width="17.7109375" customWidth="1"/>
    <col min="8974" max="8974" width="0" hidden="1" customWidth="1"/>
    <col min="8975" max="8975" width="18.140625" customWidth="1"/>
    <col min="8976" max="8976" width="0" hidden="1" customWidth="1"/>
    <col min="8977" max="8977" width="16.85546875" customWidth="1"/>
    <col min="8982" max="8983" width="11" bestFit="1" customWidth="1"/>
    <col min="9205" max="9205" width="7.85546875" bestFit="1" customWidth="1"/>
    <col min="9206" max="9206" width="64" customWidth="1"/>
    <col min="9207" max="9207" width="0" hidden="1" customWidth="1"/>
    <col min="9208" max="9208" width="18" customWidth="1"/>
    <col min="9209" max="9218" width="0" hidden="1" customWidth="1"/>
    <col min="9219" max="9219" width="16.85546875" customWidth="1"/>
    <col min="9220" max="9220" width="16.5703125" customWidth="1"/>
    <col min="9221" max="9221" width="0" hidden="1" customWidth="1"/>
    <col min="9222" max="9223" width="16.42578125" customWidth="1"/>
    <col min="9224" max="9224" width="0" hidden="1" customWidth="1"/>
    <col min="9225" max="9225" width="17.5703125" customWidth="1"/>
    <col min="9226" max="9226" width="0" hidden="1" customWidth="1"/>
    <col min="9227" max="9227" width="16.7109375" customWidth="1"/>
    <col min="9228" max="9228" width="0" hidden="1" customWidth="1"/>
    <col min="9229" max="9229" width="17.7109375" customWidth="1"/>
    <col min="9230" max="9230" width="0" hidden="1" customWidth="1"/>
    <col min="9231" max="9231" width="18.140625" customWidth="1"/>
    <col min="9232" max="9232" width="0" hidden="1" customWidth="1"/>
    <col min="9233" max="9233" width="16.85546875" customWidth="1"/>
    <col min="9238" max="9239" width="11" bestFit="1" customWidth="1"/>
    <col min="9461" max="9461" width="7.85546875" bestFit="1" customWidth="1"/>
    <col min="9462" max="9462" width="64" customWidth="1"/>
    <col min="9463" max="9463" width="0" hidden="1" customWidth="1"/>
    <col min="9464" max="9464" width="18" customWidth="1"/>
    <col min="9465" max="9474" width="0" hidden="1" customWidth="1"/>
    <col min="9475" max="9475" width="16.85546875" customWidth="1"/>
    <col min="9476" max="9476" width="16.5703125" customWidth="1"/>
    <col min="9477" max="9477" width="0" hidden="1" customWidth="1"/>
    <col min="9478" max="9479" width="16.42578125" customWidth="1"/>
    <col min="9480" max="9480" width="0" hidden="1" customWidth="1"/>
    <col min="9481" max="9481" width="17.5703125" customWidth="1"/>
    <col min="9482" max="9482" width="0" hidden="1" customWidth="1"/>
    <col min="9483" max="9483" width="16.7109375" customWidth="1"/>
    <col min="9484" max="9484" width="0" hidden="1" customWidth="1"/>
    <col min="9485" max="9485" width="17.7109375" customWidth="1"/>
    <col min="9486" max="9486" width="0" hidden="1" customWidth="1"/>
    <col min="9487" max="9487" width="18.140625" customWidth="1"/>
    <col min="9488" max="9488" width="0" hidden="1" customWidth="1"/>
    <col min="9489" max="9489" width="16.85546875" customWidth="1"/>
    <col min="9494" max="9495" width="11" bestFit="1" customWidth="1"/>
    <col min="9717" max="9717" width="7.85546875" bestFit="1" customWidth="1"/>
    <col min="9718" max="9718" width="64" customWidth="1"/>
    <col min="9719" max="9719" width="0" hidden="1" customWidth="1"/>
    <col min="9720" max="9720" width="18" customWidth="1"/>
    <col min="9721" max="9730" width="0" hidden="1" customWidth="1"/>
    <col min="9731" max="9731" width="16.85546875" customWidth="1"/>
    <col min="9732" max="9732" width="16.5703125" customWidth="1"/>
    <col min="9733" max="9733" width="0" hidden="1" customWidth="1"/>
    <col min="9734" max="9735" width="16.42578125" customWidth="1"/>
    <col min="9736" max="9736" width="0" hidden="1" customWidth="1"/>
    <col min="9737" max="9737" width="17.5703125" customWidth="1"/>
    <col min="9738" max="9738" width="0" hidden="1" customWidth="1"/>
    <col min="9739" max="9739" width="16.7109375" customWidth="1"/>
    <col min="9740" max="9740" width="0" hidden="1" customWidth="1"/>
    <col min="9741" max="9741" width="17.7109375" customWidth="1"/>
    <col min="9742" max="9742" width="0" hidden="1" customWidth="1"/>
    <col min="9743" max="9743" width="18.140625" customWidth="1"/>
    <col min="9744" max="9744" width="0" hidden="1" customWidth="1"/>
    <col min="9745" max="9745" width="16.85546875" customWidth="1"/>
    <col min="9750" max="9751" width="11" bestFit="1" customWidth="1"/>
    <col min="9973" max="9973" width="7.85546875" bestFit="1" customWidth="1"/>
    <col min="9974" max="9974" width="64" customWidth="1"/>
    <col min="9975" max="9975" width="0" hidden="1" customWidth="1"/>
    <col min="9976" max="9976" width="18" customWidth="1"/>
    <col min="9977" max="9986" width="0" hidden="1" customWidth="1"/>
    <col min="9987" max="9987" width="16.85546875" customWidth="1"/>
    <col min="9988" max="9988" width="16.5703125" customWidth="1"/>
    <col min="9989" max="9989" width="0" hidden="1" customWidth="1"/>
    <col min="9990" max="9991" width="16.42578125" customWidth="1"/>
    <col min="9992" max="9992" width="0" hidden="1" customWidth="1"/>
    <col min="9993" max="9993" width="17.5703125" customWidth="1"/>
    <col min="9994" max="9994" width="0" hidden="1" customWidth="1"/>
    <col min="9995" max="9995" width="16.7109375" customWidth="1"/>
    <col min="9996" max="9996" width="0" hidden="1" customWidth="1"/>
    <col min="9997" max="9997" width="17.7109375" customWidth="1"/>
    <col min="9998" max="9998" width="0" hidden="1" customWidth="1"/>
    <col min="9999" max="9999" width="18.140625" customWidth="1"/>
    <col min="10000" max="10000" width="0" hidden="1" customWidth="1"/>
    <col min="10001" max="10001" width="16.85546875" customWidth="1"/>
    <col min="10006" max="10007" width="11" bestFit="1" customWidth="1"/>
    <col min="10229" max="10229" width="7.85546875" bestFit="1" customWidth="1"/>
    <col min="10230" max="10230" width="64" customWidth="1"/>
    <col min="10231" max="10231" width="0" hidden="1" customWidth="1"/>
    <col min="10232" max="10232" width="18" customWidth="1"/>
    <col min="10233" max="10242" width="0" hidden="1" customWidth="1"/>
    <col min="10243" max="10243" width="16.85546875" customWidth="1"/>
    <col min="10244" max="10244" width="16.5703125" customWidth="1"/>
    <col min="10245" max="10245" width="0" hidden="1" customWidth="1"/>
    <col min="10246" max="10247" width="16.42578125" customWidth="1"/>
    <col min="10248" max="10248" width="0" hidden="1" customWidth="1"/>
    <col min="10249" max="10249" width="17.5703125" customWidth="1"/>
    <col min="10250" max="10250" width="0" hidden="1" customWidth="1"/>
    <col min="10251" max="10251" width="16.7109375" customWidth="1"/>
    <col min="10252" max="10252" width="0" hidden="1" customWidth="1"/>
    <col min="10253" max="10253" width="17.7109375" customWidth="1"/>
    <col min="10254" max="10254" width="0" hidden="1" customWidth="1"/>
    <col min="10255" max="10255" width="18.140625" customWidth="1"/>
    <col min="10256" max="10256" width="0" hidden="1" customWidth="1"/>
    <col min="10257" max="10257" width="16.85546875" customWidth="1"/>
    <col min="10262" max="10263" width="11" bestFit="1" customWidth="1"/>
    <col min="10485" max="10485" width="7.85546875" bestFit="1" customWidth="1"/>
    <col min="10486" max="10486" width="64" customWidth="1"/>
    <col min="10487" max="10487" width="0" hidden="1" customWidth="1"/>
    <col min="10488" max="10488" width="18" customWidth="1"/>
    <col min="10489" max="10498" width="0" hidden="1" customWidth="1"/>
    <col min="10499" max="10499" width="16.85546875" customWidth="1"/>
    <col min="10500" max="10500" width="16.5703125" customWidth="1"/>
    <col min="10501" max="10501" width="0" hidden="1" customWidth="1"/>
    <col min="10502" max="10503" width="16.42578125" customWidth="1"/>
    <col min="10504" max="10504" width="0" hidden="1" customWidth="1"/>
    <col min="10505" max="10505" width="17.5703125" customWidth="1"/>
    <col min="10506" max="10506" width="0" hidden="1" customWidth="1"/>
    <col min="10507" max="10507" width="16.7109375" customWidth="1"/>
    <col min="10508" max="10508" width="0" hidden="1" customWidth="1"/>
    <col min="10509" max="10509" width="17.7109375" customWidth="1"/>
    <col min="10510" max="10510" width="0" hidden="1" customWidth="1"/>
    <col min="10511" max="10511" width="18.140625" customWidth="1"/>
    <col min="10512" max="10512" width="0" hidden="1" customWidth="1"/>
    <col min="10513" max="10513" width="16.85546875" customWidth="1"/>
    <col min="10518" max="10519" width="11" bestFit="1" customWidth="1"/>
    <col min="10741" max="10741" width="7.85546875" bestFit="1" customWidth="1"/>
    <col min="10742" max="10742" width="64" customWidth="1"/>
    <col min="10743" max="10743" width="0" hidden="1" customWidth="1"/>
    <col min="10744" max="10744" width="18" customWidth="1"/>
    <col min="10745" max="10754" width="0" hidden="1" customWidth="1"/>
    <col min="10755" max="10755" width="16.85546875" customWidth="1"/>
    <col min="10756" max="10756" width="16.5703125" customWidth="1"/>
    <col min="10757" max="10757" width="0" hidden="1" customWidth="1"/>
    <col min="10758" max="10759" width="16.42578125" customWidth="1"/>
    <col min="10760" max="10760" width="0" hidden="1" customWidth="1"/>
    <col min="10761" max="10761" width="17.5703125" customWidth="1"/>
    <col min="10762" max="10762" width="0" hidden="1" customWidth="1"/>
    <col min="10763" max="10763" width="16.7109375" customWidth="1"/>
    <col min="10764" max="10764" width="0" hidden="1" customWidth="1"/>
    <col min="10765" max="10765" width="17.7109375" customWidth="1"/>
    <col min="10766" max="10766" width="0" hidden="1" customWidth="1"/>
    <col min="10767" max="10767" width="18.140625" customWidth="1"/>
    <col min="10768" max="10768" width="0" hidden="1" customWidth="1"/>
    <col min="10769" max="10769" width="16.85546875" customWidth="1"/>
    <col min="10774" max="10775" width="11" bestFit="1" customWidth="1"/>
    <col min="10997" max="10997" width="7.85546875" bestFit="1" customWidth="1"/>
    <col min="10998" max="10998" width="64" customWidth="1"/>
    <col min="10999" max="10999" width="0" hidden="1" customWidth="1"/>
    <col min="11000" max="11000" width="18" customWidth="1"/>
    <col min="11001" max="11010" width="0" hidden="1" customWidth="1"/>
    <col min="11011" max="11011" width="16.85546875" customWidth="1"/>
    <col min="11012" max="11012" width="16.5703125" customWidth="1"/>
    <col min="11013" max="11013" width="0" hidden="1" customWidth="1"/>
    <col min="11014" max="11015" width="16.42578125" customWidth="1"/>
    <col min="11016" max="11016" width="0" hidden="1" customWidth="1"/>
    <col min="11017" max="11017" width="17.5703125" customWidth="1"/>
    <col min="11018" max="11018" width="0" hidden="1" customWidth="1"/>
    <col min="11019" max="11019" width="16.7109375" customWidth="1"/>
    <col min="11020" max="11020" width="0" hidden="1" customWidth="1"/>
    <col min="11021" max="11021" width="17.7109375" customWidth="1"/>
    <col min="11022" max="11022" width="0" hidden="1" customWidth="1"/>
    <col min="11023" max="11023" width="18.140625" customWidth="1"/>
    <col min="11024" max="11024" width="0" hidden="1" customWidth="1"/>
    <col min="11025" max="11025" width="16.85546875" customWidth="1"/>
    <col min="11030" max="11031" width="11" bestFit="1" customWidth="1"/>
    <col min="11253" max="11253" width="7.85546875" bestFit="1" customWidth="1"/>
    <col min="11254" max="11254" width="64" customWidth="1"/>
    <col min="11255" max="11255" width="0" hidden="1" customWidth="1"/>
    <col min="11256" max="11256" width="18" customWidth="1"/>
    <col min="11257" max="11266" width="0" hidden="1" customWidth="1"/>
    <col min="11267" max="11267" width="16.85546875" customWidth="1"/>
    <col min="11268" max="11268" width="16.5703125" customWidth="1"/>
    <col min="11269" max="11269" width="0" hidden="1" customWidth="1"/>
    <col min="11270" max="11271" width="16.42578125" customWidth="1"/>
    <col min="11272" max="11272" width="0" hidden="1" customWidth="1"/>
    <col min="11273" max="11273" width="17.5703125" customWidth="1"/>
    <col min="11274" max="11274" width="0" hidden="1" customWidth="1"/>
    <col min="11275" max="11275" width="16.7109375" customWidth="1"/>
    <col min="11276" max="11276" width="0" hidden="1" customWidth="1"/>
    <col min="11277" max="11277" width="17.7109375" customWidth="1"/>
    <col min="11278" max="11278" width="0" hidden="1" customWidth="1"/>
    <col min="11279" max="11279" width="18.140625" customWidth="1"/>
    <col min="11280" max="11280" width="0" hidden="1" customWidth="1"/>
    <col min="11281" max="11281" width="16.85546875" customWidth="1"/>
    <col min="11286" max="11287" width="11" bestFit="1" customWidth="1"/>
    <col min="11509" max="11509" width="7.85546875" bestFit="1" customWidth="1"/>
    <col min="11510" max="11510" width="64" customWidth="1"/>
    <col min="11511" max="11511" width="0" hidden="1" customWidth="1"/>
    <col min="11512" max="11512" width="18" customWidth="1"/>
    <col min="11513" max="11522" width="0" hidden="1" customWidth="1"/>
    <col min="11523" max="11523" width="16.85546875" customWidth="1"/>
    <col min="11524" max="11524" width="16.5703125" customWidth="1"/>
    <col min="11525" max="11525" width="0" hidden="1" customWidth="1"/>
    <col min="11526" max="11527" width="16.42578125" customWidth="1"/>
    <col min="11528" max="11528" width="0" hidden="1" customWidth="1"/>
    <col min="11529" max="11529" width="17.5703125" customWidth="1"/>
    <col min="11530" max="11530" width="0" hidden="1" customWidth="1"/>
    <col min="11531" max="11531" width="16.7109375" customWidth="1"/>
    <col min="11532" max="11532" width="0" hidden="1" customWidth="1"/>
    <col min="11533" max="11533" width="17.7109375" customWidth="1"/>
    <col min="11534" max="11534" width="0" hidden="1" customWidth="1"/>
    <col min="11535" max="11535" width="18.140625" customWidth="1"/>
    <col min="11536" max="11536" width="0" hidden="1" customWidth="1"/>
    <col min="11537" max="11537" width="16.85546875" customWidth="1"/>
    <col min="11542" max="11543" width="11" bestFit="1" customWidth="1"/>
    <col min="11765" max="11765" width="7.85546875" bestFit="1" customWidth="1"/>
    <col min="11766" max="11766" width="64" customWidth="1"/>
    <col min="11767" max="11767" width="0" hidden="1" customWidth="1"/>
    <col min="11768" max="11768" width="18" customWidth="1"/>
    <col min="11769" max="11778" width="0" hidden="1" customWidth="1"/>
    <col min="11779" max="11779" width="16.85546875" customWidth="1"/>
    <col min="11780" max="11780" width="16.5703125" customWidth="1"/>
    <col min="11781" max="11781" width="0" hidden="1" customWidth="1"/>
    <col min="11782" max="11783" width="16.42578125" customWidth="1"/>
    <col min="11784" max="11784" width="0" hidden="1" customWidth="1"/>
    <col min="11785" max="11785" width="17.5703125" customWidth="1"/>
    <col min="11786" max="11786" width="0" hidden="1" customWidth="1"/>
    <col min="11787" max="11787" width="16.7109375" customWidth="1"/>
    <col min="11788" max="11788" width="0" hidden="1" customWidth="1"/>
    <col min="11789" max="11789" width="17.7109375" customWidth="1"/>
    <col min="11790" max="11790" width="0" hidden="1" customWidth="1"/>
    <col min="11791" max="11791" width="18.140625" customWidth="1"/>
    <col min="11792" max="11792" width="0" hidden="1" customWidth="1"/>
    <col min="11793" max="11793" width="16.85546875" customWidth="1"/>
    <col min="11798" max="11799" width="11" bestFit="1" customWidth="1"/>
    <col min="12021" max="12021" width="7.85546875" bestFit="1" customWidth="1"/>
    <col min="12022" max="12022" width="64" customWidth="1"/>
    <col min="12023" max="12023" width="0" hidden="1" customWidth="1"/>
    <col min="12024" max="12024" width="18" customWidth="1"/>
    <col min="12025" max="12034" width="0" hidden="1" customWidth="1"/>
    <col min="12035" max="12035" width="16.85546875" customWidth="1"/>
    <col min="12036" max="12036" width="16.5703125" customWidth="1"/>
    <col min="12037" max="12037" width="0" hidden="1" customWidth="1"/>
    <col min="12038" max="12039" width="16.42578125" customWidth="1"/>
    <col min="12040" max="12040" width="0" hidden="1" customWidth="1"/>
    <col min="12041" max="12041" width="17.5703125" customWidth="1"/>
    <col min="12042" max="12042" width="0" hidden="1" customWidth="1"/>
    <col min="12043" max="12043" width="16.7109375" customWidth="1"/>
    <col min="12044" max="12044" width="0" hidden="1" customWidth="1"/>
    <col min="12045" max="12045" width="17.7109375" customWidth="1"/>
    <col min="12046" max="12046" width="0" hidden="1" customWidth="1"/>
    <col min="12047" max="12047" width="18.140625" customWidth="1"/>
    <col min="12048" max="12048" width="0" hidden="1" customWidth="1"/>
    <col min="12049" max="12049" width="16.85546875" customWidth="1"/>
    <col min="12054" max="12055" width="11" bestFit="1" customWidth="1"/>
    <col min="12277" max="12277" width="7.85546875" bestFit="1" customWidth="1"/>
    <col min="12278" max="12278" width="64" customWidth="1"/>
    <col min="12279" max="12279" width="0" hidden="1" customWidth="1"/>
    <col min="12280" max="12280" width="18" customWidth="1"/>
    <col min="12281" max="12290" width="0" hidden="1" customWidth="1"/>
    <col min="12291" max="12291" width="16.85546875" customWidth="1"/>
    <col min="12292" max="12292" width="16.5703125" customWidth="1"/>
    <col min="12293" max="12293" width="0" hidden="1" customWidth="1"/>
    <col min="12294" max="12295" width="16.42578125" customWidth="1"/>
    <col min="12296" max="12296" width="0" hidden="1" customWidth="1"/>
    <col min="12297" max="12297" width="17.5703125" customWidth="1"/>
    <col min="12298" max="12298" width="0" hidden="1" customWidth="1"/>
    <col min="12299" max="12299" width="16.7109375" customWidth="1"/>
    <col min="12300" max="12300" width="0" hidden="1" customWidth="1"/>
    <col min="12301" max="12301" width="17.7109375" customWidth="1"/>
    <col min="12302" max="12302" width="0" hidden="1" customWidth="1"/>
    <col min="12303" max="12303" width="18.140625" customWidth="1"/>
    <col min="12304" max="12304" width="0" hidden="1" customWidth="1"/>
    <col min="12305" max="12305" width="16.85546875" customWidth="1"/>
    <col min="12310" max="12311" width="11" bestFit="1" customWidth="1"/>
    <col min="12533" max="12533" width="7.85546875" bestFit="1" customWidth="1"/>
    <col min="12534" max="12534" width="64" customWidth="1"/>
    <col min="12535" max="12535" width="0" hidden="1" customWidth="1"/>
    <col min="12536" max="12536" width="18" customWidth="1"/>
    <col min="12537" max="12546" width="0" hidden="1" customWidth="1"/>
    <col min="12547" max="12547" width="16.85546875" customWidth="1"/>
    <col min="12548" max="12548" width="16.5703125" customWidth="1"/>
    <col min="12549" max="12549" width="0" hidden="1" customWidth="1"/>
    <col min="12550" max="12551" width="16.42578125" customWidth="1"/>
    <col min="12552" max="12552" width="0" hidden="1" customWidth="1"/>
    <col min="12553" max="12553" width="17.5703125" customWidth="1"/>
    <col min="12554" max="12554" width="0" hidden="1" customWidth="1"/>
    <col min="12555" max="12555" width="16.7109375" customWidth="1"/>
    <col min="12556" max="12556" width="0" hidden="1" customWidth="1"/>
    <col min="12557" max="12557" width="17.7109375" customWidth="1"/>
    <col min="12558" max="12558" width="0" hidden="1" customWidth="1"/>
    <col min="12559" max="12559" width="18.140625" customWidth="1"/>
    <col min="12560" max="12560" width="0" hidden="1" customWidth="1"/>
    <col min="12561" max="12561" width="16.85546875" customWidth="1"/>
    <col min="12566" max="12567" width="11" bestFit="1" customWidth="1"/>
    <col min="12789" max="12789" width="7.85546875" bestFit="1" customWidth="1"/>
    <col min="12790" max="12790" width="64" customWidth="1"/>
    <col min="12791" max="12791" width="0" hidden="1" customWidth="1"/>
    <col min="12792" max="12792" width="18" customWidth="1"/>
    <col min="12793" max="12802" width="0" hidden="1" customWidth="1"/>
    <col min="12803" max="12803" width="16.85546875" customWidth="1"/>
    <col min="12804" max="12804" width="16.5703125" customWidth="1"/>
    <col min="12805" max="12805" width="0" hidden="1" customWidth="1"/>
    <col min="12806" max="12807" width="16.42578125" customWidth="1"/>
    <col min="12808" max="12808" width="0" hidden="1" customWidth="1"/>
    <col min="12809" max="12809" width="17.5703125" customWidth="1"/>
    <col min="12810" max="12810" width="0" hidden="1" customWidth="1"/>
    <col min="12811" max="12811" width="16.7109375" customWidth="1"/>
    <col min="12812" max="12812" width="0" hidden="1" customWidth="1"/>
    <col min="12813" max="12813" width="17.7109375" customWidth="1"/>
    <col min="12814" max="12814" width="0" hidden="1" customWidth="1"/>
    <col min="12815" max="12815" width="18.140625" customWidth="1"/>
    <col min="12816" max="12816" width="0" hidden="1" customWidth="1"/>
    <col min="12817" max="12817" width="16.85546875" customWidth="1"/>
    <col min="12822" max="12823" width="11" bestFit="1" customWidth="1"/>
    <col min="13045" max="13045" width="7.85546875" bestFit="1" customWidth="1"/>
    <col min="13046" max="13046" width="64" customWidth="1"/>
    <col min="13047" max="13047" width="0" hidden="1" customWidth="1"/>
    <col min="13048" max="13048" width="18" customWidth="1"/>
    <col min="13049" max="13058" width="0" hidden="1" customWidth="1"/>
    <col min="13059" max="13059" width="16.85546875" customWidth="1"/>
    <col min="13060" max="13060" width="16.5703125" customWidth="1"/>
    <col min="13061" max="13061" width="0" hidden="1" customWidth="1"/>
    <col min="13062" max="13063" width="16.42578125" customWidth="1"/>
    <col min="13064" max="13064" width="0" hidden="1" customWidth="1"/>
    <col min="13065" max="13065" width="17.5703125" customWidth="1"/>
    <col min="13066" max="13066" width="0" hidden="1" customWidth="1"/>
    <col min="13067" max="13067" width="16.7109375" customWidth="1"/>
    <col min="13068" max="13068" width="0" hidden="1" customWidth="1"/>
    <col min="13069" max="13069" width="17.7109375" customWidth="1"/>
    <col min="13070" max="13070" width="0" hidden="1" customWidth="1"/>
    <col min="13071" max="13071" width="18.140625" customWidth="1"/>
    <col min="13072" max="13072" width="0" hidden="1" customWidth="1"/>
    <col min="13073" max="13073" width="16.85546875" customWidth="1"/>
    <col min="13078" max="13079" width="11" bestFit="1" customWidth="1"/>
    <col min="13301" max="13301" width="7.85546875" bestFit="1" customWidth="1"/>
    <col min="13302" max="13302" width="64" customWidth="1"/>
    <col min="13303" max="13303" width="0" hidden="1" customWidth="1"/>
    <col min="13304" max="13304" width="18" customWidth="1"/>
    <col min="13305" max="13314" width="0" hidden="1" customWidth="1"/>
    <col min="13315" max="13315" width="16.85546875" customWidth="1"/>
    <col min="13316" max="13316" width="16.5703125" customWidth="1"/>
    <col min="13317" max="13317" width="0" hidden="1" customWidth="1"/>
    <col min="13318" max="13319" width="16.42578125" customWidth="1"/>
    <col min="13320" max="13320" width="0" hidden="1" customWidth="1"/>
    <col min="13321" max="13321" width="17.5703125" customWidth="1"/>
    <col min="13322" max="13322" width="0" hidden="1" customWidth="1"/>
    <col min="13323" max="13323" width="16.7109375" customWidth="1"/>
    <col min="13324" max="13324" width="0" hidden="1" customWidth="1"/>
    <col min="13325" max="13325" width="17.7109375" customWidth="1"/>
    <col min="13326" max="13326" width="0" hidden="1" customWidth="1"/>
    <col min="13327" max="13327" width="18.140625" customWidth="1"/>
    <col min="13328" max="13328" width="0" hidden="1" customWidth="1"/>
    <col min="13329" max="13329" width="16.85546875" customWidth="1"/>
    <col min="13334" max="13335" width="11" bestFit="1" customWidth="1"/>
    <col min="13557" max="13557" width="7.85546875" bestFit="1" customWidth="1"/>
    <col min="13558" max="13558" width="64" customWidth="1"/>
    <col min="13559" max="13559" width="0" hidden="1" customWidth="1"/>
    <col min="13560" max="13560" width="18" customWidth="1"/>
    <col min="13561" max="13570" width="0" hidden="1" customWidth="1"/>
    <col min="13571" max="13571" width="16.85546875" customWidth="1"/>
    <col min="13572" max="13572" width="16.5703125" customWidth="1"/>
    <col min="13573" max="13573" width="0" hidden="1" customWidth="1"/>
    <col min="13574" max="13575" width="16.42578125" customWidth="1"/>
    <col min="13576" max="13576" width="0" hidden="1" customWidth="1"/>
    <col min="13577" max="13577" width="17.5703125" customWidth="1"/>
    <col min="13578" max="13578" width="0" hidden="1" customWidth="1"/>
    <col min="13579" max="13579" width="16.7109375" customWidth="1"/>
    <col min="13580" max="13580" width="0" hidden="1" customWidth="1"/>
    <col min="13581" max="13581" width="17.7109375" customWidth="1"/>
    <col min="13582" max="13582" width="0" hidden="1" customWidth="1"/>
    <col min="13583" max="13583" width="18.140625" customWidth="1"/>
    <col min="13584" max="13584" width="0" hidden="1" customWidth="1"/>
    <col min="13585" max="13585" width="16.85546875" customWidth="1"/>
    <col min="13590" max="13591" width="11" bestFit="1" customWidth="1"/>
    <col min="13813" max="13813" width="7.85546875" bestFit="1" customWidth="1"/>
    <col min="13814" max="13814" width="64" customWidth="1"/>
    <col min="13815" max="13815" width="0" hidden="1" customWidth="1"/>
    <col min="13816" max="13816" width="18" customWidth="1"/>
    <col min="13817" max="13826" width="0" hidden="1" customWidth="1"/>
    <col min="13827" max="13827" width="16.85546875" customWidth="1"/>
    <col min="13828" max="13828" width="16.5703125" customWidth="1"/>
    <col min="13829" max="13829" width="0" hidden="1" customWidth="1"/>
    <col min="13830" max="13831" width="16.42578125" customWidth="1"/>
    <col min="13832" max="13832" width="0" hidden="1" customWidth="1"/>
    <col min="13833" max="13833" width="17.5703125" customWidth="1"/>
    <col min="13834" max="13834" width="0" hidden="1" customWidth="1"/>
    <col min="13835" max="13835" width="16.7109375" customWidth="1"/>
    <col min="13836" max="13836" width="0" hidden="1" customWidth="1"/>
    <col min="13837" max="13837" width="17.7109375" customWidth="1"/>
    <col min="13838" max="13838" width="0" hidden="1" customWidth="1"/>
    <col min="13839" max="13839" width="18.140625" customWidth="1"/>
    <col min="13840" max="13840" width="0" hidden="1" customWidth="1"/>
    <col min="13841" max="13841" width="16.85546875" customWidth="1"/>
    <col min="13846" max="13847" width="11" bestFit="1" customWidth="1"/>
    <col min="14069" max="14069" width="7.85546875" bestFit="1" customWidth="1"/>
    <col min="14070" max="14070" width="64" customWidth="1"/>
    <col min="14071" max="14071" width="0" hidden="1" customWidth="1"/>
    <col min="14072" max="14072" width="18" customWidth="1"/>
    <col min="14073" max="14082" width="0" hidden="1" customWidth="1"/>
    <col min="14083" max="14083" width="16.85546875" customWidth="1"/>
    <col min="14084" max="14084" width="16.5703125" customWidth="1"/>
    <col min="14085" max="14085" width="0" hidden="1" customWidth="1"/>
    <col min="14086" max="14087" width="16.42578125" customWidth="1"/>
    <col min="14088" max="14088" width="0" hidden="1" customWidth="1"/>
    <col min="14089" max="14089" width="17.5703125" customWidth="1"/>
    <col min="14090" max="14090" width="0" hidden="1" customWidth="1"/>
    <col min="14091" max="14091" width="16.7109375" customWidth="1"/>
    <col min="14092" max="14092" width="0" hidden="1" customWidth="1"/>
    <col min="14093" max="14093" width="17.7109375" customWidth="1"/>
    <col min="14094" max="14094" width="0" hidden="1" customWidth="1"/>
    <col min="14095" max="14095" width="18.140625" customWidth="1"/>
    <col min="14096" max="14096" width="0" hidden="1" customWidth="1"/>
    <col min="14097" max="14097" width="16.85546875" customWidth="1"/>
    <col min="14102" max="14103" width="11" bestFit="1" customWidth="1"/>
    <col min="14325" max="14325" width="7.85546875" bestFit="1" customWidth="1"/>
    <col min="14326" max="14326" width="64" customWidth="1"/>
    <col min="14327" max="14327" width="0" hidden="1" customWidth="1"/>
    <col min="14328" max="14328" width="18" customWidth="1"/>
    <col min="14329" max="14338" width="0" hidden="1" customWidth="1"/>
    <col min="14339" max="14339" width="16.85546875" customWidth="1"/>
    <col min="14340" max="14340" width="16.5703125" customWidth="1"/>
    <col min="14341" max="14341" width="0" hidden="1" customWidth="1"/>
    <col min="14342" max="14343" width="16.42578125" customWidth="1"/>
    <col min="14344" max="14344" width="0" hidden="1" customWidth="1"/>
    <col min="14345" max="14345" width="17.5703125" customWidth="1"/>
    <col min="14346" max="14346" width="0" hidden="1" customWidth="1"/>
    <col min="14347" max="14347" width="16.7109375" customWidth="1"/>
    <col min="14348" max="14348" width="0" hidden="1" customWidth="1"/>
    <col min="14349" max="14349" width="17.7109375" customWidth="1"/>
    <col min="14350" max="14350" width="0" hidden="1" customWidth="1"/>
    <col min="14351" max="14351" width="18.140625" customWidth="1"/>
    <col min="14352" max="14352" width="0" hidden="1" customWidth="1"/>
    <col min="14353" max="14353" width="16.85546875" customWidth="1"/>
    <col min="14358" max="14359" width="11" bestFit="1" customWidth="1"/>
    <col min="14581" max="14581" width="7.85546875" bestFit="1" customWidth="1"/>
    <col min="14582" max="14582" width="64" customWidth="1"/>
    <col min="14583" max="14583" width="0" hidden="1" customWidth="1"/>
    <col min="14584" max="14584" width="18" customWidth="1"/>
    <col min="14585" max="14594" width="0" hidden="1" customWidth="1"/>
    <col min="14595" max="14595" width="16.85546875" customWidth="1"/>
    <col min="14596" max="14596" width="16.5703125" customWidth="1"/>
    <col min="14597" max="14597" width="0" hidden="1" customWidth="1"/>
    <col min="14598" max="14599" width="16.42578125" customWidth="1"/>
    <col min="14600" max="14600" width="0" hidden="1" customWidth="1"/>
    <col min="14601" max="14601" width="17.5703125" customWidth="1"/>
    <col min="14602" max="14602" width="0" hidden="1" customWidth="1"/>
    <col min="14603" max="14603" width="16.7109375" customWidth="1"/>
    <col min="14604" max="14604" width="0" hidden="1" customWidth="1"/>
    <col min="14605" max="14605" width="17.7109375" customWidth="1"/>
    <col min="14606" max="14606" width="0" hidden="1" customWidth="1"/>
    <col min="14607" max="14607" width="18.140625" customWidth="1"/>
    <col min="14608" max="14608" width="0" hidden="1" customWidth="1"/>
    <col min="14609" max="14609" width="16.85546875" customWidth="1"/>
    <col min="14614" max="14615" width="11" bestFit="1" customWidth="1"/>
    <col min="14837" max="14837" width="7.85546875" bestFit="1" customWidth="1"/>
    <col min="14838" max="14838" width="64" customWidth="1"/>
    <col min="14839" max="14839" width="0" hidden="1" customWidth="1"/>
    <col min="14840" max="14840" width="18" customWidth="1"/>
    <col min="14841" max="14850" width="0" hidden="1" customWidth="1"/>
    <col min="14851" max="14851" width="16.85546875" customWidth="1"/>
    <col min="14852" max="14852" width="16.5703125" customWidth="1"/>
    <col min="14853" max="14853" width="0" hidden="1" customWidth="1"/>
    <col min="14854" max="14855" width="16.42578125" customWidth="1"/>
    <col min="14856" max="14856" width="0" hidden="1" customWidth="1"/>
    <col min="14857" max="14857" width="17.5703125" customWidth="1"/>
    <col min="14858" max="14858" width="0" hidden="1" customWidth="1"/>
    <col min="14859" max="14859" width="16.7109375" customWidth="1"/>
    <col min="14860" max="14860" width="0" hidden="1" customWidth="1"/>
    <col min="14861" max="14861" width="17.7109375" customWidth="1"/>
    <col min="14862" max="14862" width="0" hidden="1" customWidth="1"/>
    <col min="14863" max="14863" width="18.140625" customWidth="1"/>
    <col min="14864" max="14864" width="0" hidden="1" customWidth="1"/>
    <col min="14865" max="14865" width="16.85546875" customWidth="1"/>
    <col min="14870" max="14871" width="11" bestFit="1" customWidth="1"/>
    <col min="15093" max="15093" width="7.85546875" bestFit="1" customWidth="1"/>
    <col min="15094" max="15094" width="64" customWidth="1"/>
    <col min="15095" max="15095" width="0" hidden="1" customWidth="1"/>
    <col min="15096" max="15096" width="18" customWidth="1"/>
    <col min="15097" max="15106" width="0" hidden="1" customWidth="1"/>
    <col min="15107" max="15107" width="16.85546875" customWidth="1"/>
    <col min="15108" max="15108" width="16.5703125" customWidth="1"/>
    <col min="15109" max="15109" width="0" hidden="1" customWidth="1"/>
    <col min="15110" max="15111" width="16.42578125" customWidth="1"/>
    <col min="15112" max="15112" width="0" hidden="1" customWidth="1"/>
    <col min="15113" max="15113" width="17.5703125" customWidth="1"/>
    <col min="15114" max="15114" width="0" hidden="1" customWidth="1"/>
    <col min="15115" max="15115" width="16.7109375" customWidth="1"/>
    <col min="15116" max="15116" width="0" hidden="1" customWidth="1"/>
    <col min="15117" max="15117" width="17.7109375" customWidth="1"/>
    <col min="15118" max="15118" width="0" hidden="1" customWidth="1"/>
    <col min="15119" max="15119" width="18.140625" customWidth="1"/>
    <col min="15120" max="15120" width="0" hidden="1" customWidth="1"/>
    <col min="15121" max="15121" width="16.85546875" customWidth="1"/>
    <col min="15126" max="15127" width="11" bestFit="1" customWidth="1"/>
    <col min="15349" max="15349" width="7.85546875" bestFit="1" customWidth="1"/>
    <col min="15350" max="15350" width="64" customWidth="1"/>
    <col min="15351" max="15351" width="0" hidden="1" customWidth="1"/>
    <col min="15352" max="15352" width="18" customWidth="1"/>
    <col min="15353" max="15362" width="0" hidden="1" customWidth="1"/>
    <col min="15363" max="15363" width="16.85546875" customWidth="1"/>
    <col min="15364" max="15364" width="16.5703125" customWidth="1"/>
    <col min="15365" max="15365" width="0" hidden="1" customWidth="1"/>
    <col min="15366" max="15367" width="16.42578125" customWidth="1"/>
    <col min="15368" max="15368" width="0" hidden="1" customWidth="1"/>
    <col min="15369" max="15369" width="17.5703125" customWidth="1"/>
    <col min="15370" max="15370" width="0" hidden="1" customWidth="1"/>
    <col min="15371" max="15371" width="16.7109375" customWidth="1"/>
    <col min="15372" max="15372" width="0" hidden="1" customWidth="1"/>
    <col min="15373" max="15373" width="17.7109375" customWidth="1"/>
    <col min="15374" max="15374" width="0" hidden="1" customWidth="1"/>
    <col min="15375" max="15375" width="18.140625" customWidth="1"/>
    <col min="15376" max="15376" width="0" hidden="1" customWidth="1"/>
    <col min="15377" max="15377" width="16.85546875" customWidth="1"/>
    <col min="15382" max="15383" width="11" bestFit="1" customWidth="1"/>
    <col min="15605" max="15605" width="7.85546875" bestFit="1" customWidth="1"/>
    <col min="15606" max="15606" width="64" customWidth="1"/>
    <col min="15607" max="15607" width="0" hidden="1" customWidth="1"/>
    <col min="15608" max="15608" width="18" customWidth="1"/>
    <col min="15609" max="15618" width="0" hidden="1" customWidth="1"/>
    <col min="15619" max="15619" width="16.85546875" customWidth="1"/>
    <col min="15620" max="15620" width="16.5703125" customWidth="1"/>
    <col min="15621" max="15621" width="0" hidden="1" customWidth="1"/>
    <col min="15622" max="15623" width="16.42578125" customWidth="1"/>
    <col min="15624" max="15624" width="0" hidden="1" customWidth="1"/>
    <col min="15625" max="15625" width="17.5703125" customWidth="1"/>
    <col min="15626" max="15626" width="0" hidden="1" customWidth="1"/>
    <col min="15627" max="15627" width="16.7109375" customWidth="1"/>
    <col min="15628" max="15628" width="0" hidden="1" customWidth="1"/>
    <col min="15629" max="15629" width="17.7109375" customWidth="1"/>
    <col min="15630" max="15630" width="0" hidden="1" customWidth="1"/>
    <col min="15631" max="15631" width="18.140625" customWidth="1"/>
    <col min="15632" max="15632" width="0" hidden="1" customWidth="1"/>
    <col min="15633" max="15633" width="16.85546875" customWidth="1"/>
    <col min="15638" max="15639" width="11" bestFit="1" customWidth="1"/>
    <col min="15861" max="15861" width="7.85546875" bestFit="1" customWidth="1"/>
    <col min="15862" max="15862" width="64" customWidth="1"/>
    <col min="15863" max="15863" width="0" hidden="1" customWidth="1"/>
    <col min="15864" max="15864" width="18" customWidth="1"/>
    <col min="15865" max="15874" width="0" hidden="1" customWidth="1"/>
    <col min="15875" max="15875" width="16.85546875" customWidth="1"/>
    <col min="15876" max="15876" width="16.5703125" customWidth="1"/>
    <col min="15877" max="15877" width="0" hidden="1" customWidth="1"/>
    <col min="15878" max="15879" width="16.42578125" customWidth="1"/>
    <col min="15880" max="15880" width="0" hidden="1" customWidth="1"/>
    <col min="15881" max="15881" width="17.5703125" customWidth="1"/>
    <col min="15882" max="15882" width="0" hidden="1" customWidth="1"/>
    <col min="15883" max="15883" width="16.7109375" customWidth="1"/>
    <col min="15884" max="15884" width="0" hidden="1" customWidth="1"/>
    <col min="15885" max="15885" width="17.7109375" customWidth="1"/>
    <col min="15886" max="15886" width="0" hidden="1" customWidth="1"/>
    <col min="15887" max="15887" width="18.140625" customWidth="1"/>
    <col min="15888" max="15888" width="0" hidden="1" customWidth="1"/>
    <col min="15889" max="15889" width="16.85546875" customWidth="1"/>
    <col min="15894" max="15895" width="11" bestFit="1" customWidth="1"/>
    <col min="16117" max="16117" width="7.85546875" bestFit="1" customWidth="1"/>
    <col min="16118" max="16118" width="64" customWidth="1"/>
    <col min="16119" max="16119" width="0" hidden="1" customWidth="1"/>
    <col min="16120" max="16120" width="18" customWidth="1"/>
    <col min="16121" max="16130" width="0" hidden="1" customWidth="1"/>
    <col min="16131" max="16131" width="16.85546875" customWidth="1"/>
    <col min="16132" max="16132" width="16.5703125" customWidth="1"/>
    <col min="16133" max="16133" width="0" hidden="1" customWidth="1"/>
    <col min="16134" max="16135" width="16.42578125" customWidth="1"/>
    <col min="16136" max="16136" width="0" hidden="1" customWidth="1"/>
    <col min="16137" max="16137" width="17.5703125" customWidth="1"/>
    <col min="16138" max="16138" width="0" hidden="1" customWidth="1"/>
    <col min="16139" max="16139" width="16.7109375" customWidth="1"/>
    <col min="16140" max="16140" width="0" hidden="1" customWidth="1"/>
    <col min="16141" max="16141" width="17.7109375" customWidth="1"/>
    <col min="16142" max="16142" width="0" hidden="1" customWidth="1"/>
    <col min="16143" max="16143" width="18.140625" customWidth="1"/>
    <col min="16144" max="16144" width="0" hidden="1" customWidth="1"/>
    <col min="16145" max="16145" width="16.85546875" customWidth="1"/>
    <col min="16150" max="16151" width="11" bestFit="1" customWidth="1"/>
  </cols>
  <sheetData>
    <row r="1" spans="1:24" outlineLevel="1">
      <c r="H1" s="1814"/>
      <c r="I1" s="1814"/>
      <c r="M1" s="2531"/>
      <c r="N1" s="2532" t="s">
        <v>845</v>
      </c>
      <c r="O1" s="2532"/>
      <c r="P1" s="2532"/>
      <c r="Q1" s="2532"/>
    </row>
    <row r="2" spans="1:24" outlineLevel="1">
      <c r="B2" t="s">
        <v>1667</v>
      </c>
      <c r="H2" s="1814"/>
      <c r="I2" s="1814"/>
      <c r="M2" s="2531"/>
      <c r="N2" s="2532" t="s">
        <v>786</v>
      </c>
      <c r="O2" s="2532"/>
      <c r="P2" s="2532"/>
      <c r="Q2" s="2644">
        <f>51111.76+534+763.61+32.02</f>
        <v>52441.39</v>
      </c>
      <c r="R2" s="2643" t="s">
        <v>1666</v>
      </c>
      <c r="S2" s="1"/>
      <c r="T2" s="1"/>
    </row>
    <row r="3" spans="1:24" outlineLevel="1">
      <c r="B3" t="s">
        <v>1668</v>
      </c>
      <c r="H3" s="1814"/>
      <c r="I3" s="1814"/>
      <c r="M3" s="2531"/>
      <c r="N3" s="2532" t="s">
        <v>294</v>
      </c>
      <c r="O3" s="2532"/>
      <c r="P3" s="2532"/>
      <c r="Q3" s="2642">
        <f>Q2-I19</f>
        <v>48247.57699999999</v>
      </c>
      <c r="R3" s="1815" t="s">
        <v>1665</v>
      </c>
    </row>
    <row r="4" spans="1:24" outlineLevel="1">
      <c r="H4" s="1814"/>
      <c r="I4" s="1814">
        <f>I15/I14</f>
        <v>0.78681483346986958</v>
      </c>
      <c r="M4" s="2531"/>
      <c r="N4" s="2532" t="s">
        <v>787</v>
      </c>
      <c r="O4" s="2532"/>
      <c r="P4" s="2532"/>
      <c r="Q4" s="2641">
        <f>3889.59/Q3</f>
        <v>8.0617312658001483E-2</v>
      </c>
      <c r="R4" s="1815" t="s">
        <v>1664</v>
      </c>
    </row>
    <row r="5" spans="1:24" s="1815" customFormat="1" outlineLevel="1">
      <c r="A5"/>
      <c r="B5"/>
      <c r="C5"/>
      <c r="D5"/>
      <c r="E5"/>
      <c r="F5"/>
      <c r="G5">
        <f>G15/G14</f>
        <v>0.77451392692255983</v>
      </c>
      <c r="H5" s="1814"/>
      <c r="I5" s="1814"/>
      <c r="J5" s="1816"/>
      <c r="K5" s="1816">
        <f>K18/K14</f>
        <v>0.9999100571713071</v>
      </c>
      <c r="L5" s="1816"/>
      <c r="M5" s="1816"/>
      <c r="N5" s="1816"/>
      <c r="O5" s="1816"/>
      <c r="P5" s="1816"/>
      <c r="Q5" s="1816"/>
      <c r="S5"/>
      <c r="T5"/>
      <c r="U5"/>
      <c r="V5"/>
      <c r="W5"/>
      <c r="X5"/>
    </row>
    <row r="6" spans="1:24" s="1815" customFormat="1">
      <c r="A6"/>
      <c r="B6"/>
      <c r="C6"/>
      <c r="D6"/>
      <c r="E6"/>
      <c r="F6"/>
      <c r="G6"/>
      <c r="H6" s="1814"/>
      <c r="I6" s="1814"/>
      <c r="J6" s="1816"/>
      <c r="K6" s="1816"/>
      <c r="L6" s="1816"/>
      <c r="M6" s="1816"/>
      <c r="N6" s="1816"/>
      <c r="O6" s="1816"/>
      <c r="P6" s="2531">
        <f>O28*0.155</f>
        <v>7600.0648298739652</v>
      </c>
      <c r="Q6" s="2531">
        <f>P28*0.1548</f>
        <v>7662.6256589874311</v>
      </c>
      <c r="R6" s="1815">
        <f>Q28*0.1548</f>
        <v>7696.6593892058181</v>
      </c>
      <c r="S6"/>
      <c r="T6"/>
      <c r="U6"/>
      <c r="V6"/>
      <c r="W6"/>
      <c r="X6"/>
    </row>
    <row r="7" spans="1:24" s="1815" customFormat="1" ht="2.25" customHeight="1" outlineLevel="1">
      <c r="A7" s="73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S7"/>
      <c r="T7"/>
      <c r="U7"/>
      <c r="V7"/>
      <c r="W7"/>
      <c r="X7"/>
    </row>
    <row r="8" spans="1:24" ht="16.5" thickBot="1">
      <c r="A8" s="3507" t="s">
        <v>846</v>
      </c>
      <c r="B8" s="3507"/>
      <c r="C8" s="3507"/>
      <c r="D8" s="3507"/>
      <c r="E8" s="3507"/>
      <c r="F8" s="3507"/>
      <c r="G8" s="3507"/>
      <c r="H8" s="3507"/>
      <c r="I8" s="3507"/>
      <c r="J8" s="3507"/>
      <c r="K8" s="3507"/>
      <c r="L8" s="3507"/>
      <c r="M8" s="3507"/>
      <c r="N8" s="3507"/>
      <c r="O8" s="2617">
        <f>O19/O14</f>
        <v>6.8922406623122254E-2</v>
      </c>
      <c r="P8" s="2617"/>
      <c r="Q8" s="2617"/>
    </row>
    <row r="9" spans="1:24" ht="16.5" hidden="1" thickBot="1">
      <c r="A9" s="2617"/>
      <c r="I9">
        <f>I14/G14</f>
        <v>1.0133322666892621</v>
      </c>
      <c r="L9" s="2657">
        <f>L18/L14</f>
        <v>0.99999717283206968</v>
      </c>
      <c r="M9" s="2657">
        <f>M18/M14</f>
        <v>0.99999714240745008</v>
      </c>
      <c r="N9" s="2657">
        <f>N18/N14</f>
        <v>0.99999716189309473</v>
      </c>
      <c r="T9" t="s">
        <v>1663</v>
      </c>
    </row>
    <row r="10" spans="1:24" ht="31.5" customHeight="1">
      <c r="A10" s="3500" t="s">
        <v>0</v>
      </c>
      <c r="B10" s="3500" t="s">
        <v>1</v>
      </c>
      <c r="C10" s="3500" t="s">
        <v>789</v>
      </c>
      <c r="D10" s="3500" t="s">
        <v>1644</v>
      </c>
      <c r="E10" s="3500"/>
      <c r="F10" s="3500" t="s">
        <v>1336</v>
      </c>
      <c r="G10" s="3500"/>
      <c r="H10" s="3501" t="s">
        <v>1337</v>
      </c>
      <c r="I10" s="3502"/>
      <c r="J10" s="3501" t="s">
        <v>1770</v>
      </c>
      <c r="K10" s="3502"/>
      <c r="L10" s="3503" t="s">
        <v>1771</v>
      </c>
      <c r="M10" s="3503" t="s">
        <v>1772</v>
      </c>
      <c r="N10" s="3503" t="s">
        <v>1773</v>
      </c>
      <c r="O10" s="3508" t="s">
        <v>1460</v>
      </c>
      <c r="P10" s="3509"/>
      <c r="Q10" s="3510"/>
      <c r="R10" s="3505" t="s">
        <v>1774</v>
      </c>
      <c r="T10" s="2640" t="s">
        <v>1662</v>
      </c>
    </row>
    <row r="11" spans="1:24" ht="27" customHeight="1" thickBot="1">
      <c r="A11" s="3500"/>
      <c r="B11" s="3500"/>
      <c r="C11" s="3500"/>
      <c r="D11" s="1817" t="s">
        <v>1339</v>
      </c>
      <c r="E11" s="2618" t="s">
        <v>6</v>
      </c>
      <c r="F11" s="2618" t="s">
        <v>1340</v>
      </c>
      <c r="G11" s="745" t="s">
        <v>6</v>
      </c>
      <c r="H11" s="2618" t="s">
        <v>1340</v>
      </c>
      <c r="I11" s="745" t="s">
        <v>6</v>
      </c>
      <c r="J11" s="2618" t="s">
        <v>1340</v>
      </c>
      <c r="K11" s="2619" t="s">
        <v>847</v>
      </c>
      <c r="L11" s="3504"/>
      <c r="M11" s="3504"/>
      <c r="N11" s="3504"/>
      <c r="O11" s="3110" t="s">
        <v>1678</v>
      </c>
      <c r="P11" s="3073" t="s">
        <v>1679</v>
      </c>
      <c r="Q11" s="3111" t="s">
        <v>1677</v>
      </c>
      <c r="R11" s="3506"/>
      <c r="T11" s="2640" t="s">
        <v>1661</v>
      </c>
    </row>
    <row r="12" spans="1:24" s="1815" customFormat="1" ht="15.75" customHeight="1">
      <c r="A12" s="1819">
        <v>1</v>
      </c>
      <c r="B12" s="1819">
        <v>2</v>
      </c>
      <c r="C12" s="1819">
        <v>3</v>
      </c>
      <c r="D12" s="1819">
        <v>4</v>
      </c>
      <c r="E12" s="1819">
        <v>5</v>
      </c>
      <c r="F12" s="799">
        <v>4</v>
      </c>
      <c r="G12" s="799">
        <v>5</v>
      </c>
      <c r="H12" s="799">
        <v>4</v>
      </c>
      <c r="I12" s="799">
        <v>5</v>
      </c>
      <c r="J12" s="799">
        <v>6</v>
      </c>
      <c r="K12" s="1819">
        <v>7</v>
      </c>
      <c r="L12" s="1819">
        <v>8</v>
      </c>
      <c r="M12" s="1820">
        <v>9</v>
      </c>
      <c r="N12" s="3093">
        <v>10</v>
      </c>
      <c r="O12" s="3112">
        <v>11</v>
      </c>
      <c r="P12" s="1820">
        <v>12</v>
      </c>
      <c r="Q12" s="3113">
        <v>13</v>
      </c>
      <c r="R12" s="3113">
        <v>14</v>
      </c>
    </row>
    <row r="13" spans="1:24" s="762" customFormat="1" ht="15.75">
      <c r="A13" s="1821">
        <v>1</v>
      </c>
      <c r="B13" s="1822" t="s">
        <v>848</v>
      </c>
      <c r="C13" s="1821"/>
      <c r="D13" s="1823"/>
      <c r="E13" s="1823"/>
      <c r="F13" s="1821"/>
      <c r="G13" s="1821"/>
      <c r="H13" s="1824"/>
      <c r="I13" s="1824"/>
      <c r="J13" s="1824"/>
      <c r="K13" s="1825"/>
      <c r="L13" s="1824"/>
      <c r="M13" s="1824"/>
      <c r="N13" s="3094"/>
      <c r="O13" s="3114"/>
      <c r="P13" s="1824"/>
      <c r="Q13" s="3094"/>
      <c r="R13" s="3133"/>
    </row>
    <row r="14" spans="1:24" ht="15.75">
      <c r="A14" s="1827" t="s">
        <v>454</v>
      </c>
      <c r="B14" s="751" t="s">
        <v>849</v>
      </c>
      <c r="C14" s="743" t="s">
        <v>801</v>
      </c>
      <c r="D14" s="752">
        <v>54821.138999999988</v>
      </c>
      <c r="E14" s="752">
        <v>52952.041499999999</v>
      </c>
      <c r="F14" s="752">
        <v>54325.259365789192</v>
      </c>
      <c r="G14" s="752">
        <v>50901.078249999999</v>
      </c>
      <c r="H14" s="754">
        <v>52915.447</v>
      </c>
      <c r="I14" s="754">
        <v>51579.705000000002</v>
      </c>
      <c r="J14" s="754">
        <v>50027.148300000001</v>
      </c>
      <c r="K14" s="754">
        <v>52854.686349999996</v>
      </c>
      <c r="L14" s="754">
        <v>53056.628999999994</v>
      </c>
      <c r="M14" s="754">
        <v>52491.738196545004</v>
      </c>
      <c r="N14" s="3095">
        <v>52852.131722500002</v>
      </c>
      <c r="O14" s="3115">
        <f>(E14+G14+I14)/3</f>
        <v>51810.941583333333</v>
      </c>
      <c r="P14" s="754">
        <v>52318.12</v>
      </c>
      <c r="Q14" s="3095">
        <v>52551.4</v>
      </c>
      <c r="R14" s="3141" t="s">
        <v>1775</v>
      </c>
      <c r="S14" s="1815" t="s">
        <v>1341</v>
      </c>
    </row>
    <row r="15" spans="1:24" ht="15.75">
      <c r="A15" s="1828" t="s">
        <v>456</v>
      </c>
      <c r="B15" s="755" t="s">
        <v>850</v>
      </c>
      <c r="C15" s="743" t="s">
        <v>801</v>
      </c>
      <c r="D15" s="1829"/>
      <c r="E15" s="1829">
        <v>41956.837999999996</v>
      </c>
      <c r="F15" s="1829"/>
      <c r="G15" s="1829">
        <v>39423.593999999997</v>
      </c>
      <c r="H15" s="1830"/>
      <c r="I15" s="1831">
        <v>40583.677000000003</v>
      </c>
      <c r="J15" s="1830"/>
      <c r="K15" s="1831">
        <v>41396.933000000005</v>
      </c>
      <c r="L15" s="1831">
        <v>41553.674999999996</v>
      </c>
      <c r="M15" s="1831">
        <v>41111.499000000003</v>
      </c>
      <c r="N15" s="3096">
        <v>41393.729999999996</v>
      </c>
      <c r="O15" s="3116">
        <f>O14*0.78</f>
        <v>40412.534435000001</v>
      </c>
      <c r="P15" s="1831">
        <f>P14*0.78</f>
        <v>40808.133600000001</v>
      </c>
      <c r="Q15" s="3096">
        <f>Q14*0.78</f>
        <v>40990.092000000004</v>
      </c>
      <c r="R15" s="2643"/>
    </row>
    <row r="16" spans="1:24" ht="15.75">
      <c r="A16" s="1828" t="s">
        <v>150</v>
      </c>
      <c r="B16" s="755" t="s">
        <v>851</v>
      </c>
      <c r="C16" s="743" t="s">
        <v>801</v>
      </c>
      <c r="D16" s="1829"/>
      <c r="E16" s="1829">
        <v>10995.203500000001</v>
      </c>
      <c r="F16" s="1829"/>
      <c r="G16" s="1829">
        <v>11477.484250000001</v>
      </c>
      <c r="H16" s="1831"/>
      <c r="I16" s="1831">
        <v>10996.027999999998</v>
      </c>
      <c r="J16" s="1830"/>
      <c r="K16" s="1831">
        <v>11457.753349999992</v>
      </c>
      <c r="L16" s="1831">
        <v>11502.953999999998</v>
      </c>
      <c r="M16" s="1831">
        <v>11380.239196545001</v>
      </c>
      <c r="N16" s="3096">
        <v>11458.401722500006</v>
      </c>
      <c r="O16" s="3116">
        <f>O14-O15</f>
        <v>11398.407148333332</v>
      </c>
      <c r="P16" s="1831">
        <f>P14-P15</f>
        <v>11509.986400000002</v>
      </c>
      <c r="Q16" s="3096">
        <f>Q14-Q15</f>
        <v>11561.307999999997</v>
      </c>
      <c r="R16" s="2643"/>
    </row>
    <row r="17" spans="1:23" ht="27.75" customHeight="1">
      <c r="A17" s="1832" t="s">
        <v>154</v>
      </c>
      <c r="B17" s="1833" t="s">
        <v>852</v>
      </c>
      <c r="C17" s="1834" t="s">
        <v>801</v>
      </c>
      <c r="D17" s="752"/>
      <c r="E17" s="752" t="s">
        <v>830</v>
      </c>
      <c r="F17" s="752" t="s">
        <v>830</v>
      </c>
      <c r="G17" s="752" t="s">
        <v>830</v>
      </c>
      <c r="H17" s="754" t="s">
        <v>830</v>
      </c>
      <c r="I17" s="754" t="s">
        <v>830</v>
      </c>
      <c r="J17" s="754" t="s">
        <v>830</v>
      </c>
      <c r="K17" s="754" t="s">
        <v>830</v>
      </c>
      <c r="L17" s="754" t="s">
        <v>830</v>
      </c>
      <c r="M17" s="754" t="s">
        <v>830</v>
      </c>
      <c r="N17" s="3095" t="s">
        <v>830</v>
      </c>
      <c r="O17" s="3115" t="s">
        <v>1492</v>
      </c>
      <c r="P17" s="754"/>
      <c r="Q17" s="3095"/>
      <c r="R17" s="2643"/>
    </row>
    <row r="18" spans="1:23" ht="24.75" customHeight="1">
      <c r="A18" s="1827" t="s">
        <v>461</v>
      </c>
      <c r="B18" s="751" t="s">
        <v>853</v>
      </c>
      <c r="C18" s="743" t="s">
        <v>801</v>
      </c>
      <c r="D18" s="752"/>
      <c r="E18" s="752">
        <v>52930.409999999996</v>
      </c>
      <c r="F18" s="752">
        <v>54212.327685461321</v>
      </c>
      <c r="G18" s="752">
        <v>50882.282249999997</v>
      </c>
      <c r="H18" s="754">
        <v>52895.677299999996</v>
      </c>
      <c r="I18" s="754">
        <v>51560.07</v>
      </c>
      <c r="J18" s="754">
        <v>50006.244299999998</v>
      </c>
      <c r="K18" s="754">
        <v>52849.93245</v>
      </c>
      <c r="L18" s="754">
        <v>53056.478999999992</v>
      </c>
      <c r="M18" s="754">
        <v>52491.588196545003</v>
      </c>
      <c r="N18" s="3095">
        <v>52851.981722500001</v>
      </c>
      <c r="O18" s="3115">
        <f>O14*L9</f>
        <v>51810.795105100849</v>
      </c>
      <c r="P18" s="754">
        <f>P14*M9</f>
        <v>52317.970496130067</v>
      </c>
      <c r="Q18" s="3095">
        <f>Q14*N9</f>
        <v>52551.250853508784</v>
      </c>
      <c r="R18" s="2643"/>
      <c r="S18" s="1815" t="s">
        <v>1342</v>
      </c>
    </row>
    <row r="19" spans="1:23" s="1835" customFormat="1" ht="15.75">
      <c r="A19" s="2534" t="s">
        <v>462</v>
      </c>
      <c r="B19" s="2535" t="s">
        <v>854</v>
      </c>
      <c r="C19" s="1834" t="s">
        <v>801</v>
      </c>
      <c r="D19" s="2536"/>
      <c r="E19" s="2536">
        <v>3315.2959999999998</v>
      </c>
      <c r="F19" s="2536">
        <v>3259.5155619473512</v>
      </c>
      <c r="G19" s="2536">
        <v>3203.6953499999936</v>
      </c>
      <c r="H19" s="754">
        <v>3600.0119999999993</v>
      </c>
      <c r="I19" s="754">
        <v>4193.8130000000074</v>
      </c>
      <c r="J19" s="754">
        <v>3313.1600000000021</v>
      </c>
      <c r="K19" s="754">
        <v>4283.2566999999972</v>
      </c>
      <c r="L19" s="754">
        <v>4299.5730000109697</v>
      </c>
      <c r="M19" s="754">
        <v>4253.8231965000014</v>
      </c>
      <c r="N19" s="3095">
        <v>4283.0417224999946</v>
      </c>
      <c r="O19" s="3115">
        <f>(E19+G19+I19)/3</f>
        <v>3570.9347833333336</v>
      </c>
      <c r="P19" s="754">
        <f>P14*O8</f>
        <v>3605.8907403973049</v>
      </c>
      <c r="Q19" s="3095">
        <f>Q14*O8</f>
        <v>3621.968959414347</v>
      </c>
      <c r="R19" s="3141" t="s">
        <v>1776</v>
      </c>
      <c r="S19" s="1815" t="s">
        <v>1343</v>
      </c>
    </row>
    <row r="20" spans="1:23" ht="19.5" hidden="1" customHeight="1">
      <c r="A20" s="1827" t="s">
        <v>855</v>
      </c>
      <c r="B20" s="751" t="s">
        <v>856</v>
      </c>
      <c r="C20" s="1836" t="s">
        <v>801</v>
      </c>
      <c r="D20" s="1837"/>
      <c r="E20" s="1837" t="s">
        <v>1344</v>
      </c>
      <c r="F20" s="1837" t="s">
        <v>830</v>
      </c>
      <c r="G20" s="1837" t="s">
        <v>830</v>
      </c>
      <c r="H20" s="1838" t="s">
        <v>830</v>
      </c>
      <c r="I20" s="1838" t="s">
        <v>830</v>
      </c>
      <c r="J20" s="1838" t="s">
        <v>830</v>
      </c>
      <c r="K20" s="1838" t="s">
        <v>830</v>
      </c>
      <c r="L20" s="1838" t="s">
        <v>830</v>
      </c>
      <c r="M20" s="1838" t="s">
        <v>830</v>
      </c>
      <c r="N20" s="3097" t="s">
        <v>830</v>
      </c>
      <c r="O20" s="3115"/>
      <c r="P20" s="754"/>
      <c r="Q20" s="3095"/>
      <c r="R20" s="2643"/>
      <c r="S20" s="1815"/>
    </row>
    <row r="21" spans="1:23" ht="36" hidden="1" customHeight="1">
      <c r="A21" s="1839" t="s">
        <v>33</v>
      </c>
      <c r="B21" s="1840" t="s">
        <v>1345</v>
      </c>
      <c r="C21" s="1841" t="s">
        <v>801</v>
      </c>
      <c r="D21" s="1842">
        <v>52193.723999999987</v>
      </c>
      <c r="E21" s="1842">
        <v>50511.3586</v>
      </c>
      <c r="F21" s="1842">
        <v>51973.369803841837</v>
      </c>
      <c r="G21" s="1842">
        <v>48503.030900000005</v>
      </c>
      <c r="H21" s="1843">
        <v>0</v>
      </c>
      <c r="I21" s="1843">
        <v>0</v>
      </c>
      <c r="J21" s="1843">
        <v>0</v>
      </c>
      <c r="K21" s="1843">
        <v>0</v>
      </c>
      <c r="L21" s="783">
        <v>0</v>
      </c>
      <c r="M21" s="1843">
        <v>0</v>
      </c>
      <c r="N21" s="3098">
        <v>0</v>
      </c>
      <c r="O21" s="3117"/>
      <c r="P21" s="1843"/>
      <c r="Q21" s="3098"/>
      <c r="R21" s="2643"/>
      <c r="S21" s="1815" t="s">
        <v>1346</v>
      </c>
    </row>
    <row r="22" spans="1:23" ht="36" customHeight="1">
      <c r="A22" s="1827" t="s">
        <v>33</v>
      </c>
      <c r="B22" s="798" t="s">
        <v>1777</v>
      </c>
      <c r="C22" s="743" t="s">
        <v>801</v>
      </c>
      <c r="D22" s="1844">
        <v>52193.723999999987</v>
      </c>
      <c r="E22" s="1845">
        <v>50511.3586</v>
      </c>
      <c r="F22" s="754">
        <v>51065.74380384184</v>
      </c>
      <c r="G22" s="754">
        <v>47697.382900000004</v>
      </c>
      <c r="H22" s="754">
        <v>49315.434999999998</v>
      </c>
      <c r="I22" s="754">
        <v>47385.891999999993</v>
      </c>
      <c r="J22" s="754">
        <v>46713.988299999997</v>
      </c>
      <c r="K22" s="754">
        <v>48571.429649999998</v>
      </c>
      <c r="L22" s="754">
        <v>48757.055999989025</v>
      </c>
      <c r="M22" s="754">
        <v>48237.915000045003</v>
      </c>
      <c r="N22" s="3095">
        <v>48569.090000000011</v>
      </c>
      <c r="O22" s="3115">
        <f>O18-O19</f>
        <v>48239.860321767519</v>
      </c>
      <c r="P22" s="754">
        <f>P18-P19</f>
        <v>48712.079755732761</v>
      </c>
      <c r="Q22" s="3095">
        <f>Q18-Q19</f>
        <v>48929.281894094434</v>
      </c>
      <c r="R22" s="2643"/>
      <c r="S22" s="1815" t="s">
        <v>1348</v>
      </c>
    </row>
    <row r="23" spans="1:23" s="1853" customFormat="1" ht="15.75" hidden="1">
      <c r="A23" s="1846">
        <v>2</v>
      </c>
      <c r="B23" s="1847" t="s">
        <v>857</v>
      </c>
      <c r="C23" s="1848"/>
      <c r="D23" s="1849"/>
      <c r="E23" s="1850" t="s">
        <v>830</v>
      </c>
      <c r="F23" s="1850" t="s">
        <v>830</v>
      </c>
      <c r="G23" s="1850" t="s">
        <v>830</v>
      </c>
      <c r="H23" s="1851" t="s">
        <v>830</v>
      </c>
      <c r="I23" s="1851" t="s">
        <v>830</v>
      </c>
      <c r="J23" s="1851" t="s">
        <v>830</v>
      </c>
      <c r="K23" s="1851" t="s">
        <v>830</v>
      </c>
      <c r="L23" s="1851" t="s">
        <v>830</v>
      </c>
      <c r="M23" s="1851" t="s">
        <v>830</v>
      </c>
      <c r="N23" s="3099" t="s">
        <v>830</v>
      </c>
      <c r="O23" s="3118"/>
      <c r="P23" s="2533"/>
      <c r="Q23" s="3131"/>
      <c r="R23" s="3134"/>
      <c r="S23" s="1852"/>
    </row>
    <row r="24" spans="1:23" s="1863" customFormat="1" ht="15.75" hidden="1" customHeight="1">
      <c r="A24" s="1854" t="s">
        <v>159</v>
      </c>
      <c r="B24" s="1855" t="s">
        <v>858</v>
      </c>
      <c r="C24" s="1856" t="s">
        <v>801</v>
      </c>
      <c r="D24" s="1857"/>
      <c r="E24" s="1858"/>
      <c r="F24" s="1858"/>
      <c r="G24" s="1859"/>
      <c r="H24" s="1860"/>
      <c r="I24" s="1861"/>
      <c r="J24" s="1860"/>
      <c r="K24" s="1860"/>
      <c r="L24" s="1861"/>
      <c r="M24" s="1861"/>
      <c r="N24" s="3100"/>
      <c r="O24" s="3119"/>
      <c r="P24" s="1861"/>
      <c r="Q24" s="3100"/>
      <c r="R24" s="3135"/>
      <c r="S24" s="1862"/>
    </row>
    <row r="25" spans="1:23" s="1863" customFormat="1" ht="15.75" hidden="1" customHeight="1">
      <c r="A25" s="1854" t="s">
        <v>410</v>
      </c>
      <c r="B25" s="1855" t="s">
        <v>859</v>
      </c>
      <c r="C25" s="1856" t="s">
        <v>801</v>
      </c>
      <c r="D25" s="1857"/>
      <c r="E25" s="1858"/>
      <c r="F25" s="1858"/>
      <c r="G25" s="1859"/>
      <c r="H25" s="1860"/>
      <c r="I25" s="1861"/>
      <c r="J25" s="1860"/>
      <c r="K25" s="1860"/>
      <c r="L25" s="1861"/>
      <c r="M25" s="1861"/>
      <c r="N25" s="3100"/>
      <c r="O25" s="3119"/>
      <c r="P25" s="1861"/>
      <c r="Q25" s="3100"/>
      <c r="R25" s="3135"/>
      <c r="S25" s="1862"/>
    </row>
    <row r="26" spans="1:23" s="1863" customFormat="1" ht="15.75" hidden="1" customHeight="1">
      <c r="A26" s="1854" t="s">
        <v>411</v>
      </c>
      <c r="B26" s="1855" t="s">
        <v>860</v>
      </c>
      <c r="C26" s="1856" t="s">
        <v>801</v>
      </c>
      <c r="D26" s="1857"/>
      <c r="E26" s="1858"/>
      <c r="F26" s="1858"/>
      <c r="G26" s="1859"/>
      <c r="H26" s="1860"/>
      <c r="I26" s="1861"/>
      <c r="J26" s="1860"/>
      <c r="K26" s="1860"/>
      <c r="L26" s="1861"/>
      <c r="M26" s="1861"/>
      <c r="N26" s="3100"/>
      <c r="O26" s="3119"/>
      <c r="P26" s="1861"/>
      <c r="Q26" s="3100"/>
      <c r="R26" s="3135"/>
      <c r="S26" s="1862"/>
    </row>
    <row r="27" spans="1:23" s="762" customFormat="1" ht="15.75">
      <c r="A27" s="1821">
        <v>3</v>
      </c>
      <c r="B27" s="1822" t="s">
        <v>861</v>
      </c>
      <c r="C27" s="1864"/>
      <c r="D27" s="1865"/>
      <c r="E27" s="1823"/>
      <c r="F27" s="1823"/>
      <c r="G27" s="1821"/>
      <c r="H27" s="1825"/>
      <c r="I27" s="1824"/>
      <c r="J27" s="1825"/>
      <c r="K27" s="1825"/>
      <c r="L27" s="1824"/>
      <c r="M27" s="1824"/>
      <c r="N27" s="3094"/>
      <c r="O27" s="3114"/>
      <c r="P27" s="1824"/>
      <c r="Q27" s="3094"/>
      <c r="R27" s="40"/>
      <c r="S27" s="1826"/>
    </row>
    <row r="28" spans="1:23" ht="15.75">
      <c r="A28" s="1827" t="s">
        <v>441</v>
      </c>
      <c r="B28" s="751" t="s">
        <v>862</v>
      </c>
      <c r="C28" s="743" t="s">
        <v>801</v>
      </c>
      <c r="D28" s="1844">
        <v>52193.723999999987</v>
      </c>
      <c r="E28" s="752">
        <v>50511.3586</v>
      </c>
      <c r="F28" s="752">
        <v>51973.369803841837</v>
      </c>
      <c r="G28" s="752">
        <v>48503.030900000005</v>
      </c>
      <c r="H28" s="754">
        <v>50205.343000000001</v>
      </c>
      <c r="I28" s="754">
        <v>48181.579999999994</v>
      </c>
      <c r="J28" s="754">
        <v>47527.208299999998</v>
      </c>
      <c r="K28" s="754">
        <v>49366.399649999999</v>
      </c>
      <c r="L28" s="754">
        <v>49553.837999989024</v>
      </c>
      <c r="M28" s="754">
        <v>49029.720000045003</v>
      </c>
      <c r="N28" s="3095">
        <v>49363.695000000014</v>
      </c>
      <c r="O28" s="3115">
        <f>O29+O30</f>
        <v>49032.676321767518</v>
      </c>
      <c r="P28" s="754">
        <f>P29+P30</f>
        <v>49500.165755732764</v>
      </c>
      <c r="Q28" s="3095">
        <f>Q29+Q30</f>
        <v>49720.021894094432</v>
      </c>
      <c r="R28" s="2643"/>
      <c r="S28" s="1815" t="s">
        <v>1349</v>
      </c>
    </row>
    <row r="29" spans="1:23" ht="15.75">
      <c r="A29" s="1828" t="s">
        <v>863</v>
      </c>
      <c r="B29" s="755" t="s">
        <v>864</v>
      </c>
      <c r="C29" s="743" t="s">
        <v>801</v>
      </c>
      <c r="D29" s="1829"/>
      <c r="E29" s="1829">
        <v>49636.745600000002</v>
      </c>
      <c r="F29" s="1829">
        <v>51065.74380384184</v>
      </c>
      <c r="G29" s="1829">
        <v>47697.382900000004</v>
      </c>
      <c r="H29" s="1831">
        <v>49315.434999999998</v>
      </c>
      <c r="I29" s="1831">
        <v>47385.891999999993</v>
      </c>
      <c r="J29" s="1831">
        <v>46713.988299999997</v>
      </c>
      <c r="K29" s="1831">
        <v>48571.429649999998</v>
      </c>
      <c r="L29" s="1831">
        <v>48757.055999989025</v>
      </c>
      <c r="M29" s="1831">
        <v>48237.915000045003</v>
      </c>
      <c r="N29" s="3096">
        <v>48569.090000000011</v>
      </c>
      <c r="O29" s="3116">
        <f>O22</f>
        <v>48239.860321767519</v>
      </c>
      <c r="P29" s="1831">
        <f>P22</f>
        <v>48712.079755732761</v>
      </c>
      <c r="Q29" s="3096">
        <f>Q22</f>
        <v>48929.281894094434</v>
      </c>
      <c r="R29" s="2643"/>
    </row>
    <row r="30" spans="1:23" ht="15.75">
      <c r="A30" s="1828" t="s">
        <v>865</v>
      </c>
      <c r="B30" s="755" t="s">
        <v>866</v>
      </c>
      <c r="C30" s="1866" t="s">
        <v>801</v>
      </c>
      <c r="D30" s="1867">
        <v>922.70100000000002</v>
      </c>
      <c r="E30" s="1829">
        <v>874.61300000000006</v>
      </c>
      <c r="F30" s="1829">
        <v>907.62599999999998</v>
      </c>
      <c r="G30" s="1829">
        <v>805.64799999999991</v>
      </c>
      <c r="H30" s="1831">
        <v>889.90800000000002</v>
      </c>
      <c r="I30" s="1831">
        <v>795.6880000000001</v>
      </c>
      <c r="J30" s="1831">
        <v>813.21999999999991</v>
      </c>
      <c r="K30" s="1831">
        <v>794.97</v>
      </c>
      <c r="L30" s="1831">
        <v>796.78200000000004</v>
      </c>
      <c r="M30" s="1831">
        <v>791.80500000000018</v>
      </c>
      <c r="N30" s="3096">
        <v>794.60500000000002</v>
      </c>
      <c r="O30" s="3116">
        <f>'[10]расшифровки ВС_2016'!O225</f>
        <v>792.81600000000003</v>
      </c>
      <c r="P30" s="1831">
        <f>'[10]расшифровки ВС_2016'!P225</f>
        <v>788.08600000000001</v>
      </c>
      <c r="Q30" s="3096">
        <f>'[10]расшифровки ВС_2016'!Q225</f>
        <v>790.74</v>
      </c>
      <c r="R30" s="2643"/>
    </row>
    <row r="31" spans="1:23" ht="27.75" customHeight="1">
      <c r="A31" s="1868" t="s">
        <v>867</v>
      </c>
      <c r="B31" s="1869" t="s">
        <v>868</v>
      </c>
      <c r="C31" s="1870" t="s">
        <v>801</v>
      </c>
      <c r="D31" s="754"/>
      <c r="E31" s="754"/>
      <c r="F31" s="754" t="s">
        <v>830</v>
      </c>
      <c r="G31" s="754" t="s">
        <v>830</v>
      </c>
      <c r="H31" s="754" t="s">
        <v>830</v>
      </c>
      <c r="I31" s="754" t="s">
        <v>830</v>
      </c>
      <c r="J31" s="754" t="s">
        <v>830</v>
      </c>
      <c r="K31" s="754" t="s">
        <v>830</v>
      </c>
      <c r="L31" s="754" t="s">
        <v>830</v>
      </c>
      <c r="M31" s="754" t="s">
        <v>830</v>
      </c>
      <c r="N31" s="3095" t="s">
        <v>830</v>
      </c>
      <c r="O31" s="3115"/>
      <c r="P31" s="754"/>
      <c r="Q31" s="3095"/>
      <c r="R31" s="2643"/>
    </row>
    <row r="32" spans="1:23" ht="15.75">
      <c r="A32" s="1871" t="s">
        <v>443</v>
      </c>
      <c r="B32" s="798" t="s">
        <v>869</v>
      </c>
      <c r="C32" s="1872" t="s">
        <v>801</v>
      </c>
      <c r="D32" s="754">
        <v>5823.1239999999889</v>
      </c>
      <c r="E32" s="754">
        <v>15397.805180000003</v>
      </c>
      <c r="F32" s="754">
        <v>7536.1698038418326</v>
      </c>
      <c r="G32" s="754">
        <v>12379.992760000005</v>
      </c>
      <c r="H32" s="754">
        <v>7536.1698038418326</v>
      </c>
      <c r="I32" s="754">
        <v>12268.837999999994</v>
      </c>
      <c r="J32" s="754">
        <v>6958.0400000000009</v>
      </c>
      <c r="K32" s="754">
        <v>14403.526650000002</v>
      </c>
      <c r="L32" s="754">
        <v>13982.543999989026</v>
      </c>
      <c r="M32" s="754">
        <v>13765.433000045006</v>
      </c>
      <c r="N32" s="3095">
        <v>13490.664000000015</v>
      </c>
      <c r="O32" s="3115">
        <v>8190.0649999999996</v>
      </c>
      <c r="P32" s="754">
        <v>8152.35</v>
      </c>
      <c r="Q32" s="3095">
        <v>8092.34</v>
      </c>
      <c r="R32" s="2643"/>
      <c r="S32" s="1815" t="s">
        <v>1350</v>
      </c>
      <c r="U32" s="2841">
        <f>O32/O28</f>
        <v>0.16703279556380465</v>
      </c>
      <c r="V32" s="2841">
        <f t="shared" ref="V32:W32" si="0">P32/P28</f>
        <v>0.16469338790155166</v>
      </c>
      <c r="W32" s="2841">
        <f t="shared" si="0"/>
        <v>0.16275817450839014</v>
      </c>
    </row>
    <row r="33" spans="1:24" s="1878" customFormat="1" ht="13.5" hidden="1" customHeight="1">
      <c r="A33" s="1873"/>
      <c r="B33" s="1874" t="s">
        <v>1351</v>
      </c>
      <c r="C33" s="1875"/>
      <c r="D33" s="1876">
        <v>0.11156751336616622</v>
      </c>
      <c r="E33" s="1876">
        <v>0.30483846815397286</v>
      </c>
      <c r="F33" s="1876">
        <v>0.1450005999665768</v>
      </c>
      <c r="G33" s="1876">
        <v>0.25524163192036736</v>
      </c>
      <c r="H33" s="1876" t="e">
        <v>#DIV/0!</v>
      </c>
      <c r="I33" s="1876" t="e">
        <v>#DIV/0!</v>
      </c>
      <c r="J33" s="1876" t="e">
        <v>#DIV/0!</v>
      </c>
      <c r="K33" s="1876" t="e">
        <v>#DIV/0!</v>
      </c>
      <c r="L33" s="1876" t="e">
        <v>#DIV/0!</v>
      </c>
      <c r="M33" s="1876" t="e">
        <v>#DIV/0!</v>
      </c>
      <c r="N33" s="3101" t="e">
        <v>#DIV/0!</v>
      </c>
      <c r="O33" s="3120"/>
      <c r="P33" s="1876"/>
      <c r="Q33" s="3101"/>
      <c r="R33" s="3136"/>
      <c r="S33" s="1877"/>
    </row>
    <row r="34" spans="1:24" ht="18.75" customHeight="1">
      <c r="A34" s="1871" t="s">
        <v>445</v>
      </c>
      <c r="B34" s="798" t="s">
        <v>854</v>
      </c>
      <c r="C34" s="1872" t="s">
        <v>801</v>
      </c>
      <c r="D34" s="754">
        <v>3550.1159999999986</v>
      </c>
      <c r="E34" s="754">
        <v>3315.295899999996</v>
      </c>
      <c r="F34" s="754" t="s">
        <v>870</v>
      </c>
      <c r="G34" s="754">
        <v>146.19399999999999</v>
      </c>
      <c r="H34" s="754" t="s">
        <v>870</v>
      </c>
      <c r="I34" s="754">
        <v>93.24</v>
      </c>
      <c r="J34" s="754" t="s">
        <v>870</v>
      </c>
      <c r="K34" s="754">
        <v>78.423000000000002</v>
      </c>
      <c r="L34" s="754">
        <v>80.481999999999999</v>
      </c>
      <c r="M34" s="754">
        <v>82.656999999999996</v>
      </c>
      <c r="N34" s="3095">
        <v>84.933000000000007</v>
      </c>
      <c r="O34" s="3115">
        <f>L34</f>
        <v>80.481999999999999</v>
      </c>
      <c r="P34" s="754">
        <f>M34</f>
        <v>82.656999999999996</v>
      </c>
      <c r="Q34" s="3095">
        <f>N34</f>
        <v>84.933000000000007</v>
      </c>
      <c r="R34" s="2643"/>
      <c r="S34" s="1815" t="s">
        <v>1352</v>
      </c>
    </row>
    <row r="35" spans="1:24" ht="15.75">
      <c r="A35" s="1871" t="s">
        <v>447</v>
      </c>
      <c r="B35" s="798" t="s">
        <v>871</v>
      </c>
      <c r="C35" s="1870" t="s">
        <v>801</v>
      </c>
      <c r="D35" s="753">
        <v>46370.6</v>
      </c>
      <c r="E35" s="753">
        <v>35113.553419999997</v>
      </c>
      <c r="F35" s="753">
        <v>44437.200000000004</v>
      </c>
      <c r="G35" s="753">
        <v>35976.844140000001</v>
      </c>
      <c r="H35" s="753">
        <v>42669.173196158168</v>
      </c>
      <c r="I35" s="753">
        <v>35819.502</v>
      </c>
      <c r="J35" s="753">
        <v>40569.168299999998</v>
      </c>
      <c r="K35" s="753">
        <v>34884.449999999997</v>
      </c>
      <c r="L35" s="753">
        <v>35490.811999999998</v>
      </c>
      <c r="M35" s="753">
        <v>35181.629999999997</v>
      </c>
      <c r="N35" s="3102">
        <v>35788.097999999998</v>
      </c>
      <c r="O35" s="3121">
        <f>O28-O32-O34</f>
        <v>40762.129321767512</v>
      </c>
      <c r="P35" s="753">
        <f>P28-P32-P34</f>
        <v>41265.158755732766</v>
      </c>
      <c r="Q35" s="3102">
        <f>Q28-Q32-Q34</f>
        <v>41542.748894094439</v>
      </c>
      <c r="R35" s="2643"/>
      <c r="S35" s="1815" t="s">
        <v>1353</v>
      </c>
    </row>
    <row r="36" spans="1:24" ht="24.75" customHeight="1">
      <c r="A36" s="1879" t="s">
        <v>449</v>
      </c>
      <c r="B36" s="1869" t="s">
        <v>872</v>
      </c>
      <c r="C36" s="1870" t="s">
        <v>801</v>
      </c>
      <c r="D36" s="754"/>
      <c r="E36" s="754" t="s">
        <v>1354</v>
      </c>
      <c r="F36" s="754" t="s">
        <v>830</v>
      </c>
      <c r="G36" s="754" t="s">
        <v>830</v>
      </c>
      <c r="H36" s="754" t="s">
        <v>830</v>
      </c>
      <c r="I36" s="754" t="s">
        <v>830</v>
      </c>
      <c r="J36" s="754" t="s">
        <v>830</v>
      </c>
      <c r="K36" s="754" t="s">
        <v>830</v>
      </c>
      <c r="L36" s="754" t="s">
        <v>830</v>
      </c>
      <c r="M36" s="754" t="s">
        <v>830</v>
      </c>
      <c r="N36" s="3095" t="s">
        <v>830</v>
      </c>
      <c r="O36" s="3115"/>
      <c r="P36" s="754"/>
      <c r="Q36" s="3095"/>
      <c r="R36" s="2643"/>
    </row>
    <row r="37" spans="1:24" s="1853" customFormat="1" ht="15.75" hidden="1">
      <c r="A37" s="1880">
        <v>4</v>
      </c>
      <c r="B37" s="1881" t="s">
        <v>873</v>
      </c>
      <c r="C37" s="1882"/>
      <c r="D37" s="1883" t="s">
        <v>830</v>
      </c>
      <c r="E37" s="1851" t="s">
        <v>830</v>
      </c>
      <c r="F37" s="1851" t="s">
        <v>830</v>
      </c>
      <c r="G37" s="1851" t="s">
        <v>830</v>
      </c>
      <c r="H37" s="1851" t="s">
        <v>830</v>
      </c>
      <c r="I37" s="1851" t="s">
        <v>830</v>
      </c>
      <c r="J37" s="1851" t="s">
        <v>830</v>
      </c>
      <c r="K37" s="1851" t="s">
        <v>830</v>
      </c>
      <c r="L37" s="1851" t="s">
        <v>830</v>
      </c>
      <c r="M37" s="1851" t="s">
        <v>830</v>
      </c>
      <c r="N37" s="3099" t="s">
        <v>830</v>
      </c>
      <c r="O37" s="3118"/>
      <c r="P37" s="2533"/>
      <c r="Q37" s="3131"/>
      <c r="R37" s="3137"/>
    </row>
    <row r="38" spans="1:24" s="1890" customFormat="1" ht="15.75" hidden="1" customHeight="1">
      <c r="A38" s="1884" t="s">
        <v>874</v>
      </c>
      <c r="B38" s="1885" t="s">
        <v>875</v>
      </c>
      <c r="C38" s="1886" t="s">
        <v>801</v>
      </c>
      <c r="D38" s="1887" t="s">
        <v>830</v>
      </c>
      <c r="E38" s="1888" t="s">
        <v>830</v>
      </c>
      <c r="F38" s="1888" t="s">
        <v>830</v>
      </c>
      <c r="G38" s="1888" t="s">
        <v>830</v>
      </c>
      <c r="H38" s="1888" t="s">
        <v>830</v>
      </c>
      <c r="I38" s="1888" t="s">
        <v>830</v>
      </c>
      <c r="J38" s="1888" t="s">
        <v>830</v>
      </c>
      <c r="K38" s="1888" t="s">
        <v>830</v>
      </c>
      <c r="L38" s="1888" t="s">
        <v>830</v>
      </c>
      <c r="M38" s="1888" t="s">
        <v>830</v>
      </c>
      <c r="N38" s="3103" t="s">
        <v>830</v>
      </c>
      <c r="O38" s="3122"/>
      <c r="P38" s="1888"/>
      <c r="Q38" s="3103"/>
      <c r="R38" s="3138"/>
    </row>
    <row r="39" spans="1:24" s="1890" customFormat="1" ht="15.75" hidden="1" customHeight="1">
      <c r="A39" s="1884" t="s">
        <v>876</v>
      </c>
      <c r="B39" s="1885" t="s">
        <v>869</v>
      </c>
      <c r="C39" s="1891" t="s">
        <v>1355</v>
      </c>
      <c r="D39" s="1887" t="s">
        <v>830</v>
      </c>
      <c r="E39" s="1888" t="s">
        <v>830</v>
      </c>
      <c r="F39" s="1888" t="s">
        <v>830</v>
      </c>
      <c r="G39" s="1888" t="s">
        <v>830</v>
      </c>
      <c r="H39" s="1888" t="s">
        <v>830</v>
      </c>
      <c r="I39" s="1888" t="s">
        <v>830</v>
      </c>
      <c r="J39" s="1888" t="s">
        <v>830</v>
      </c>
      <c r="K39" s="1888" t="s">
        <v>830</v>
      </c>
      <c r="L39" s="1888" t="s">
        <v>830</v>
      </c>
      <c r="M39" s="1888" t="s">
        <v>830</v>
      </c>
      <c r="N39" s="3103" t="s">
        <v>830</v>
      </c>
      <c r="O39" s="3122"/>
      <c r="P39" s="1888"/>
      <c r="Q39" s="3103"/>
      <c r="R39" s="3138"/>
    </row>
    <row r="40" spans="1:24" s="1890" customFormat="1" ht="15.75" hidden="1" customHeight="1">
      <c r="A40" s="1884" t="s">
        <v>877</v>
      </c>
      <c r="B40" s="1885" t="s">
        <v>854</v>
      </c>
      <c r="C40" s="1886" t="s">
        <v>801</v>
      </c>
      <c r="D40" s="1887" t="s">
        <v>830</v>
      </c>
      <c r="E40" s="1888" t="s">
        <v>830</v>
      </c>
      <c r="F40" s="1888" t="s">
        <v>830</v>
      </c>
      <c r="G40" s="1888" t="s">
        <v>830</v>
      </c>
      <c r="H40" s="1888" t="s">
        <v>830</v>
      </c>
      <c r="I40" s="1888" t="s">
        <v>830</v>
      </c>
      <c r="J40" s="1888" t="s">
        <v>830</v>
      </c>
      <c r="K40" s="1888" t="s">
        <v>830</v>
      </c>
      <c r="L40" s="1888" t="s">
        <v>830</v>
      </c>
      <c r="M40" s="1888" t="s">
        <v>830</v>
      </c>
      <c r="N40" s="3103" t="s">
        <v>830</v>
      </c>
      <c r="O40" s="3122"/>
      <c r="P40" s="1888"/>
      <c r="Q40" s="3103"/>
      <c r="R40" s="3138"/>
    </row>
    <row r="41" spans="1:24" s="1890" customFormat="1" ht="15.75" hidden="1" customHeight="1">
      <c r="A41" s="1884" t="s">
        <v>878</v>
      </c>
      <c r="B41" s="1885" t="s">
        <v>871</v>
      </c>
      <c r="C41" s="1886" t="s">
        <v>801</v>
      </c>
      <c r="D41" s="1887" t="s">
        <v>830</v>
      </c>
      <c r="E41" s="1888" t="s">
        <v>830</v>
      </c>
      <c r="F41" s="1888" t="s">
        <v>830</v>
      </c>
      <c r="G41" s="1888" t="s">
        <v>830</v>
      </c>
      <c r="H41" s="1888" t="s">
        <v>830</v>
      </c>
      <c r="I41" s="1888" t="s">
        <v>830</v>
      </c>
      <c r="J41" s="1888" t="s">
        <v>830</v>
      </c>
      <c r="K41" s="1888" t="s">
        <v>830</v>
      </c>
      <c r="L41" s="1888" t="s">
        <v>830</v>
      </c>
      <c r="M41" s="1888" t="s">
        <v>830</v>
      </c>
      <c r="N41" s="3103" t="s">
        <v>830</v>
      </c>
      <c r="O41" s="3122"/>
      <c r="P41" s="1888"/>
      <c r="Q41" s="3103"/>
      <c r="R41" s="3138"/>
    </row>
    <row r="42" spans="1:24" s="1853" customFormat="1" ht="15.75" hidden="1">
      <c r="A42" s="1880">
        <v>5</v>
      </c>
      <c r="B42" s="1881" t="s">
        <v>879</v>
      </c>
      <c r="C42" s="1882"/>
      <c r="D42" s="1883" t="s">
        <v>830</v>
      </c>
      <c r="E42" s="1851" t="s">
        <v>830</v>
      </c>
      <c r="F42" s="1851" t="s">
        <v>830</v>
      </c>
      <c r="G42" s="1851" t="s">
        <v>830</v>
      </c>
      <c r="H42" s="1851" t="s">
        <v>830</v>
      </c>
      <c r="I42" s="1851" t="s">
        <v>830</v>
      </c>
      <c r="J42" s="1851" t="s">
        <v>830</v>
      </c>
      <c r="K42" s="1851" t="s">
        <v>830</v>
      </c>
      <c r="L42" s="1851" t="s">
        <v>830</v>
      </c>
      <c r="M42" s="1851" t="s">
        <v>830</v>
      </c>
      <c r="N42" s="3099" t="s">
        <v>830</v>
      </c>
      <c r="O42" s="3118"/>
      <c r="P42" s="2533"/>
      <c r="Q42" s="3131"/>
      <c r="R42" s="3137"/>
    </row>
    <row r="43" spans="1:24" s="1863" customFormat="1" ht="15.75" hidden="1" customHeight="1">
      <c r="A43" s="1892" t="s">
        <v>880</v>
      </c>
      <c r="B43" s="1893" t="s">
        <v>875</v>
      </c>
      <c r="C43" s="1894" t="s">
        <v>801</v>
      </c>
      <c r="D43" s="1895"/>
      <c r="E43" s="1896"/>
      <c r="F43" s="1896"/>
      <c r="G43" s="1897"/>
      <c r="H43" s="1896"/>
      <c r="I43" s="1897"/>
      <c r="J43" s="1896"/>
      <c r="K43" s="1896"/>
      <c r="L43" s="1897"/>
      <c r="M43" s="1897"/>
      <c r="N43" s="3104"/>
      <c r="O43" s="3123"/>
      <c r="P43" s="1897"/>
      <c r="Q43" s="3104"/>
      <c r="R43" s="3139"/>
    </row>
    <row r="44" spans="1:24" s="1863" customFormat="1" ht="15.75" hidden="1" customHeight="1">
      <c r="A44" s="1892" t="s">
        <v>881</v>
      </c>
      <c r="B44" s="1893" t="s">
        <v>869</v>
      </c>
      <c r="C44" s="1898" t="s">
        <v>1355</v>
      </c>
      <c r="D44" s="1895"/>
      <c r="E44" s="1896"/>
      <c r="F44" s="1896"/>
      <c r="G44" s="1897"/>
      <c r="H44" s="1896"/>
      <c r="I44" s="1897"/>
      <c r="J44" s="1896"/>
      <c r="K44" s="1896"/>
      <c r="L44" s="1897"/>
      <c r="M44" s="1897"/>
      <c r="N44" s="3104"/>
      <c r="O44" s="3123"/>
      <c r="P44" s="1897"/>
      <c r="Q44" s="3104"/>
      <c r="R44" s="3139"/>
    </row>
    <row r="45" spans="1:24" s="1863" customFormat="1" ht="15.75" hidden="1" customHeight="1">
      <c r="A45" s="1892" t="s">
        <v>882</v>
      </c>
      <c r="B45" s="1893" t="s">
        <v>854</v>
      </c>
      <c r="C45" s="1894" t="s">
        <v>801</v>
      </c>
      <c r="D45" s="1895"/>
      <c r="E45" s="1896"/>
      <c r="F45" s="1896"/>
      <c r="G45" s="1897"/>
      <c r="H45" s="1896"/>
      <c r="I45" s="1897"/>
      <c r="J45" s="1896"/>
      <c r="K45" s="1896"/>
      <c r="L45" s="1897"/>
      <c r="M45" s="1897"/>
      <c r="N45" s="3104"/>
      <c r="O45" s="3123"/>
      <c r="P45" s="1897"/>
      <c r="Q45" s="3104"/>
      <c r="R45" s="3139"/>
    </row>
    <row r="46" spans="1:24" s="1863" customFormat="1" ht="15.75" hidden="1" customHeight="1">
      <c r="A46" s="1892" t="s">
        <v>883</v>
      </c>
      <c r="B46" s="1893" t="s">
        <v>871</v>
      </c>
      <c r="C46" s="1894" t="s">
        <v>801</v>
      </c>
      <c r="D46" s="1895"/>
      <c r="E46" s="1896"/>
      <c r="F46" s="1896"/>
      <c r="G46" s="1897"/>
      <c r="H46" s="1896"/>
      <c r="I46" s="1897"/>
      <c r="J46" s="1896"/>
      <c r="K46" s="1896"/>
      <c r="L46" s="1897"/>
      <c r="M46" s="1897"/>
      <c r="N46" s="3104"/>
      <c r="O46" s="3123"/>
      <c r="P46" s="1897"/>
      <c r="Q46" s="3104"/>
      <c r="R46" s="3139"/>
    </row>
    <row r="47" spans="1:24" s="762" customFormat="1" ht="15.75">
      <c r="A47" s="1899">
        <v>6</v>
      </c>
      <c r="B47" s="1900" t="s">
        <v>884</v>
      </c>
      <c r="C47" s="1901"/>
      <c r="D47" s="1902"/>
      <c r="E47" s="1903"/>
      <c r="F47" s="1903"/>
      <c r="G47" s="1899"/>
      <c r="H47" s="1903"/>
      <c r="I47" s="1899"/>
      <c r="J47" s="1903"/>
      <c r="K47" s="1903"/>
      <c r="L47" s="1899"/>
      <c r="M47" s="1899"/>
      <c r="N47" s="3105"/>
      <c r="O47" s="3124"/>
      <c r="P47" s="1899"/>
      <c r="Q47" s="3105"/>
      <c r="R47" s="3133"/>
    </row>
    <row r="48" spans="1:24" ht="15.75">
      <c r="A48" s="1871" t="s">
        <v>885</v>
      </c>
      <c r="B48" s="798" t="s">
        <v>886</v>
      </c>
      <c r="C48" s="1870" t="s">
        <v>801</v>
      </c>
      <c r="D48" s="754">
        <v>46370.6</v>
      </c>
      <c r="E48" s="754">
        <v>35113.553419999997</v>
      </c>
      <c r="F48" s="753">
        <v>44437.200000000004</v>
      </c>
      <c r="G48" s="753">
        <v>35976.844140000001</v>
      </c>
      <c r="H48" s="753">
        <v>42669.173196158168</v>
      </c>
      <c r="I48" s="753">
        <v>35819.502</v>
      </c>
      <c r="J48" s="753">
        <v>40569.168299999998</v>
      </c>
      <c r="K48" s="753">
        <v>34884.449999999997</v>
      </c>
      <c r="L48" s="753">
        <v>35490.811999999998</v>
      </c>
      <c r="M48" s="753">
        <v>35181.629999999997</v>
      </c>
      <c r="N48" s="3102">
        <v>35788.097999999998</v>
      </c>
      <c r="O48" s="3121">
        <f>O35</f>
        <v>40762.129321767512</v>
      </c>
      <c r="P48" s="753">
        <f>P35</f>
        <v>41265.158755732766</v>
      </c>
      <c r="Q48" s="3102">
        <f>Q35</f>
        <v>41542.748894094439</v>
      </c>
      <c r="R48" s="3133"/>
      <c r="S48" s="762"/>
      <c r="T48" s="762"/>
      <c r="U48" s="762"/>
      <c r="V48" s="762"/>
      <c r="W48" s="762"/>
      <c r="X48" s="762"/>
    </row>
    <row r="49" spans="1:24" ht="15.75">
      <c r="A49" s="1868" t="s">
        <v>887</v>
      </c>
      <c r="B49" s="1904" t="s">
        <v>888</v>
      </c>
      <c r="C49" s="1870" t="s">
        <v>801</v>
      </c>
      <c r="D49" s="1905"/>
      <c r="E49" s="1906"/>
      <c r="F49" s="1907"/>
      <c r="G49" s="1908">
        <v>22640.518</v>
      </c>
      <c r="H49" s="1907"/>
      <c r="I49" s="1908">
        <v>21890.769</v>
      </c>
      <c r="J49" s="1907"/>
      <c r="K49" s="1908">
        <v>22530.809999999998</v>
      </c>
      <c r="L49" s="1908">
        <v>22985.507999999998</v>
      </c>
      <c r="M49" s="1908">
        <v>23291.436999999998</v>
      </c>
      <c r="N49" s="3106">
        <v>23951.994999999999</v>
      </c>
      <c r="O49" s="3125"/>
      <c r="P49" s="1908"/>
      <c r="Q49" s="3106"/>
      <c r="R49" s="3133"/>
      <c r="S49" s="762"/>
      <c r="T49" s="762"/>
      <c r="U49" s="762"/>
      <c r="V49" s="762"/>
      <c r="W49" s="762"/>
      <c r="X49" s="762"/>
    </row>
    <row r="50" spans="1:24" ht="15.75">
      <c r="A50" s="1868" t="s">
        <v>889</v>
      </c>
      <c r="B50" s="1904" t="s">
        <v>890</v>
      </c>
      <c r="C50" s="1870" t="s">
        <v>801</v>
      </c>
      <c r="D50" s="1905"/>
      <c r="E50" s="1906"/>
      <c r="F50" s="1907"/>
      <c r="G50" s="1908">
        <v>13336.325999999999</v>
      </c>
      <c r="H50" s="1907"/>
      <c r="I50" s="1908">
        <v>13928.733</v>
      </c>
      <c r="J50" s="1907"/>
      <c r="K50" s="1908">
        <v>12353.64</v>
      </c>
      <c r="L50" s="1908">
        <v>12505.304</v>
      </c>
      <c r="M50" s="1908">
        <v>11890.192999999999</v>
      </c>
      <c r="N50" s="3106">
        <v>11836.102999999999</v>
      </c>
      <c r="O50" s="3125"/>
      <c r="P50" s="1908"/>
      <c r="Q50" s="3106"/>
      <c r="R50" s="3133"/>
      <c r="S50" s="762"/>
      <c r="T50" s="762"/>
      <c r="U50" s="762"/>
      <c r="V50" s="762"/>
      <c r="W50" s="762"/>
      <c r="X50" s="762"/>
    </row>
    <row r="51" spans="1:24" ht="15.75">
      <c r="A51" s="1871" t="s">
        <v>891</v>
      </c>
      <c r="B51" s="798" t="s">
        <v>892</v>
      </c>
      <c r="C51" s="1870" t="s">
        <v>801</v>
      </c>
      <c r="D51" s="1905"/>
      <c r="E51" s="1906"/>
      <c r="F51" s="1907"/>
      <c r="G51" s="1909"/>
      <c r="H51" s="1907"/>
      <c r="I51" s="753">
        <v>2022.64</v>
      </c>
      <c r="J51" s="1907"/>
      <c r="K51" s="753">
        <v>2116.7959999999998</v>
      </c>
      <c r="L51" s="753">
        <v>2132.596</v>
      </c>
      <c r="M51" s="753">
        <v>2135.4499999999998</v>
      </c>
      <c r="N51" s="3102">
        <v>2178.346</v>
      </c>
      <c r="O51" s="3121"/>
      <c r="P51" s="753"/>
      <c r="Q51" s="3102"/>
      <c r="R51" s="3133"/>
      <c r="S51" s="762"/>
      <c r="T51" s="762"/>
      <c r="U51" s="762"/>
      <c r="V51" s="762"/>
      <c r="W51" s="762"/>
      <c r="X51" s="762"/>
    </row>
    <row r="52" spans="1:24" ht="15.75">
      <c r="A52" s="1868" t="s">
        <v>893</v>
      </c>
      <c r="B52" s="1904" t="s">
        <v>894</v>
      </c>
      <c r="C52" s="1870" t="s">
        <v>895</v>
      </c>
      <c r="D52" s="754" t="s">
        <v>830</v>
      </c>
      <c r="E52" s="754" t="s">
        <v>830</v>
      </c>
      <c r="F52" s="753" t="s">
        <v>830</v>
      </c>
      <c r="G52" s="753" t="s">
        <v>830</v>
      </c>
      <c r="H52" s="753" t="s">
        <v>830</v>
      </c>
      <c r="I52" s="753" t="s">
        <v>830</v>
      </c>
      <c r="J52" s="753" t="s">
        <v>830</v>
      </c>
      <c r="K52" s="753" t="s">
        <v>830</v>
      </c>
      <c r="L52" s="753" t="s">
        <v>830</v>
      </c>
      <c r="M52" s="753" t="s">
        <v>830</v>
      </c>
      <c r="N52" s="3102" t="s">
        <v>830</v>
      </c>
      <c r="O52" s="3121"/>
      <c r="P52" s="753"/>
      <c r="Q52" s="3102"/>
      <c r="R52" s="2643"/>
    </row>
    <row r="53" spans="1:24" ht="15.75">
      <c r="A53" s="1868" t="s">
        <v>896</v>
      </c>
      <c r="B53" s="1904" t="s">
        <v>897</v>
      </c>
      <c r="C53" s="1870" t="s">
        <v>801</v>
      </c>
      <c r="D53" s="754" t="s">
        <v>830</v>
      </c>
      <c r="E53" s="754" t="s">
        <v>830</v>
      </c>
      <c r="F53" s="753" t="s">
        <v>830</v>
      </c>
      <c r="G53" s="753" t="s">
        <v>830</v>
      </c>
      <c r="H53" s="753" t="s">
        <v>830</v>
      </c>
      <c r="I53" s="753" t="s">
        <v>830</v>
      </c>
      <c r="J53" s="753" t="s">
        <v>830</v>
      </c>
      <c r="K53" s="753" t="s">
        <v>830</v>
      </c>
      <c r="L53" s="753" t="s">
        <v>830</v>
      </c>
      <c r="M53" s="753" t="s">
        <v>830</v>
      </c>
      <c r="N53" s="3102" t="s">
        <v>830</v>
      </c>
      <c r="O53" s="3121"/>
      <c r="P53" s="753"/>
      <c r="Q53" s="3102"/>
      <c r="R53" s="2643"/>
    </row>
    <row r="54" spans="1:24" ht="15.75">
      <c r="A54" s="1871" t="s">
        <v>898</v>
      </c>
      <c r="B54" s="798" t="s">
        <v>816</v>
      </c>
      <c r="C54" s="1870" t="s">
        <v>801</v>
      </c>
      <c r="D54" s="1905"/>
      <c r="E54" s="1906"/>
      <c r="F54" s="753"/>
      <c r="G54" s="753">
        <v>35976.843999999997</v>
      </c>
      <c r="H54" s="753"/>
      <c r="I54" s="753">
        <v>33796.862000000001</v>
      </c>
      <c r="J54" s="753"/>
      <c r="K54" s="753">
        <v>32767.653999999999</v>
      </c>
      <c r="L54" s="753">
        <v>33358.216</v>
      </c>
      <c r="M54" s="753">
        <v>33046.18</v>
      </c>
      <c r="N54" s="3102">
        <v>33609.752</v>
      </c>
      <c r="O54" s="3121"/>
      <c r="P54" s="753"/>
      <c r="Q54" s="3102"/>
      <c r="R54" s="2643"/>
    </row>
    <row r="55" spans="1:24" ht="30.75" customHeight="1">
      <c r="A55" s="1868" t="s">
        <v>899</v>
      </c>
      <c r="B55" s="1904" t="s">
        <v>900</v>
      </c>
      <c r="C55" s="1870" t="s">
        <v>801</v>
      </c>
      <c r="D55" s="1910"/>
      <c r="E55" s="754">
        <v>2736.5329999999999</v>
      </c>
      <c r="F55" s="1907"/>
      <c r="G55" s="1908">
        <v>2458.0929999999998</v>
      </c>
      <c r="H55" s="1907"/>
      <c r="I55" s="1908">
        <v>2026.2180000000001</v>
      </c>
      <c r="J55" s="1907"/>
      <c r="K55" s="1908">
        <v>2313.3999999999996</v>
      </c>
      <c r="L55" s="1908">
        <v>2319.7389999999996</v>
      </c>
      <c r="M55" s="1908">
        <v>2302.623</v>
      </c>
      <c r="N55" s="3106">
        <v>2283.444</v>
      </c>
      <c r="O55" s="3125"/>
      <c r="P55" s="1908"/>
      <c r="Q55" s="3106"/>
      <c r="R55" s="2643"/>
    </row>
    <row r="56" spans="1:24" s="1916" customFormat="1" ht="30">
      <c r="A56" s="1911" t="s">
        <v>901</v>
      </c>
      <c r="B56" s="1912" t="s">
        <v>819</v>
      </c>
      <c r="C56" s="757" t="s">
        <v>801</v>
      </c>
      <c r="D56" s="1913"/>
      <c r="E56" s="1914">
        <v>2341.9540000000002</v>
      </c>
      <c r="F56" s="1914"/>
      <c r="G56" s="1915">
        <v>1968.6890000000001</v>
      </c>
      <c r="H56" s="1914"/>
      <c r="I56" s="1915">
        <v>1664.0309999999999</v>
      </c>
      <c r="J56" s="1914"/>
      <c r="K56" s="1915">
        <v>1959.384</v>
      </c>
      <c r="L56" s="1915">
        <v>1964.752</v>
      </c>
      <c r="M56" s="1915">
        <v>1948.316</v>
      </c>
      <c r="N56" s="3107">
        <v>1925.6589999999999</v>
      </c>
      <c r="O56" s="3126"/>
      <c r="P56" s="1915"/>
      <c r="Q56" s="3107"/>
      <c r="R56" s="3133"/>
    </row>
    <row r="57" spans="1:24" s="1916" customFormat="1" ht="30">
      <c r="A57" s="1911" t="s">
        <v>902</v>
      </c>
      <c r="B57" s="1912" t="s">
        <v>903</v>
      </c>
      <c r="C57" s="757" t="s">
        <v>801</v>
      </c>
      <c r="D57" s="1913"/>
      <c r="E57" s="1914">
        <v>177.72499999999999</v>
      </c>
      <c r="F57" s="1914"/>
      <c r="G57" s="1915">
        <v>194.905</v>
      </c>
      <c r="H57" s="1914"/>
      <c r="I57" s="1915">
        <v>307.08499999999998</v>
      </c>
      <c r="J57" s="1914"/>
      <c r="K57" s="1915">
        <v>300.58799999999997</v>
      </c>
      <c r="L57" s="1915">
        <v>301.41199999999998</v>
      </c>
      <c r="M57" s="1915">
        <v>300.851</v>
      </c>
      <c r="N57" s="3107">
        <v>304.30500000000001</v>
      </c>
      <c r="O57" s="3126"/>
      <c r="P57" s="1915"/>
      <c r="Q57" s="3107"/>
      <c r="R57" s="3133"/>
    </row>
    <row r="58" spans="1:24" s="1916" customFormat="1" ht="30">
      <c r="A58" s="1911" t="s">
        <v>904</v>
      </c>
      <c r="B58" s="1912" t="s">
        <v>905</v>
      </c>
      <c r="C58" s="757" t="s">
        <v>801</v>
      </c>
      <c r="D58" s="1913"/>
      <c r="E58" s="1914">
        <v>52.198999999999998</v>
      </c>
      <c r="F58" s="1914"/>
      <c r="G58" s="1915">
        <v>55.604999999999997</v>
      </c>
      <c r="H58" s="1914"/>
      <c r="I58" s="1915">
        <v>55.101999999999997</v>
      </c>
      <c r="J58" s="1914"/>
      <c r="K58" s="1915">
        <v>53.427999999999997</v>
      </c>
      <c r="L58" s="1915">
        <v>53.574999999999996</v>
      </c>
      <c r="M58" s="1915">
        <v>53.455999999999996</v>
      </c>
      <c r="N58" s="3107">
        <v>53.48</v>
      </c>
      <c r="O58" s="3126"/>
      <c r="P58" s="1915"/>
      <c r="Q58" s="3107"/>
      <c r="R58" s="3133"/>
    </row>
    <row r="59" spans="1:24" s="1916" customFormat="1" ht="20.25" hidden="1" customHeight="1">
      <c r="A59" s="1911" t="s">
        <v>906</v>
      </c>
      <c r="B59" s="1912" t="s">
        <v>907</v>
      </c>
      <c r="C59" s="757" t="s">
        <v>801</v>
      </c>
      <c r="D59" s="1913"/>
      <c r="E59" s="1914">
        <v>164.655</v>
      </c>
      <c r="F59" s="1914"/>
      <c r="G59" s="1915">
        <v>238.89400000000001</v>
      </c>
      <c r="H59" s="3497" t="s">
        <v>908</v>
      </c>
      <c r="I59" s="3498"/>
      <c r="J59" s="3498"/>
      <c r="K59" s="3498"/>
      <c r="L59" s="3498"/>
      <c r="M59" s="3498"/>
      <c r="N59" s="3498"/>
      <c r="O59" s="3127"/>
      <c r="P59" s="1914"/>
      <c r="Q59" s="3074"/>
      <c r="R59" s="3133"/>
    </row>
    <row r="60" spans="1:24" ht="15.75">
      <c r="A60" s="1868" t="s">
        <v>909</v>
      </c>
      <c r="B60" s="1904" t="s">
        <v>910</v>
      </c>
      <c r="C60" s="1870" t="s">
        <v>801</v>
      </c>
      <c r="D60" s="1910"/>
      <c r="E60" s="754">
        <v>32377.020419999997</v>
      </c>
      <c r="F60" s="754"/>
      <c r="G60" s="753">
        <v>33518.750999999997</v>
      </c>
      <c r="H60" s="754"/>
      <c r="I60" s="753">
        <v>31770.644</v>
      </c>
      <c r="J60" s="753"/>
      <c r="K60" s="753">
        <v>30454.254000000001</v>
      </c>
      <c r="L60" s="753">
        <v>31038.476999999999</v>
      </c>
      <c r="M60" s="753">
        <v>30743.557000000001</v>
      </c>
      <c r="N60" s="3102">
        <v>31326.308000000001</v>
      </c>
      <c r="O60" s="3121"/>
      <c r="P60" s="753"/>
      <c r="Q60" s="3102"/>
      <c r="R60" s="2643"/>
    </row>
    <row r="61" spans="1:24" s="1853" customFormat="1" ht="15.75">
      <c r="A61" s="1880">
        <v>7</v>
      </c>
      <c r="B61" s="1881" t="s">
        <v>911</v>
      </c>
      <c r="C61" s="1882"/>
      <c r="D61" s="1883" t="s">
        <v>830</v>
      </c>
      <c r="E61" s="1851" t="s">
        <v>830</v>
      </c>
      <c r="F61" s="1851" t="s">
        <v>830</v>
      </c>
      <c r="G61" s="1851" t="s">
        <v>830</v>
      </c>
      <c r="H61" s="1851" t="s">
        <v>830</v>
      </c>
      <c r="I61" s="1851" t="s">
        <v>830</v>
      </c>
      <c r="J61" s="1851" t="s">
        <v>830</v>
      </c>
      <c r="K61" s="1851" t="s">
        <v>830</v>
      </c>
      <c r="L61" s="1851" t="s">
        <v>830</v>
      </c>
      <c r="M61" s="1851" t="s">
        <v>830</v>
      </c>
      <c r="N61" s="3099" t="s">
        <v>830</v>
      </c>
      <c r="O61" s="3118"/>
      <c r="P61" s="2533"/>
      <c r="Q61" s="3131"/>
      <c r="R61" s="3137"/>
    </row>
    <row r="62" spans="1:24" s="1890" customFormat="1" ht="15.75" hidden="1" customHeight="1">
      <c r="A62" s="1884" t="s">
        <v>912</v>
      </c>
      <c r="B62" s="1885" t="s">
        <v>913</v>
      </c>
      <c r="C62" s="1886" t="s">
        <v>801</v>
      </c>
      <c r="D62" s="1888" t="s">
        <v>830</v>
      </c>
      <c r="E62" s="1888" t="s">
        <v>830</v>
      </c>
      <c r="F62" s="1888" t="s">
        <v>830</v>
      </c>
      <c r="G62" s="1888" t="s">
        <v>830</v>
      </c>
      <c r="H62" s="1888" t="s">
        <v>830</v>
      </c>
      <c r="I62" s="1888" t="s">
        <v>830</v>
      </c>
      <c r="J62" s="1888" t="s">
        <v>830</v>
      </c>
      <c r="K62" s="1888" t="s">
        <v>830</v>
      </c>
      <c r="L62" s="1888" t="s">
        <v>830</v>
      </c>
      <c r="M62" s="1888" t="s">
        <v>830</v>
      </c>
      <c r="N62" s="3103" t="s">
        <v>830</v>
      </c>
      <c r="O62" s="3122"/>
      <c r="P62" s="1888"/>
      <c r="Q62" s="3103"/>
      <c r="R62" s="3138"/>
    </row>
    <row r="63" spans="1:24" s="1890" customFormat="1" ht="15.75" hidden="1" customHeight="1">
      <c r="A63" s="1884" t="s">
        <v>914</v>
      </c>
      <c r="B63" s="1885" t="s">
        <v>894</v>
      </c>
      <c r="C63" s="1886"/>
      <c r="D63" s="1888" t="s">
        <v>830</v>
      </c>
      <c r="E63" s="1888" t="s">
        <v>830</v>
      </c>
      <c r="F63" s="1888" t="s">
        <v>830</v>
      </c>
      <c r="G63" s="1888" t="s">
        <v>830</v>
      </c>
      <c r="H63" s="1888" t="s">
        <v>830</v>
      </c>
      <c r="I63" s="1888" t="s">
        <v>830</v>
      </c>
      <c r="J63" s="1888" t="s">
        <v>830</v>
      </c>
      <c r="K63" s="1888" t="s">
        <v>830</v>
      </c>
      <c r="L63" s="1888" t="s">
        <v>830</v>
      </c>
      <c r="M63" s="1888" t="s">
        <v>830</v>
      </c>
      <c r="N63" s="3103" t="s">
        <v>830</v>
      </c>
      <c r="O63" s="3122"/>
      <c r="P63" s="1888"/>
      <c r="Q63" s="3103"/>
      <c r="R63" s="3138"/>
    </row>
    <row r="64" spans="1:24" s="1890" customFormat="1" ht="15.75" hidden="1" customHeight="1">
      <c r="A64" s="1917" t="s">
        <v>915</v>
      </c>
      <c r="B64" s="1918" t="s">
        <v>897</v>
      </c>
      <c r="C64" s="1886" t="s">
        <v>801</v>
      </c>
      <c r="D64" s="1888" t="s">
        <v>830</v>
      </c>
      <c r="E64" s="1888" t="s">
        <v>830</v>
      </c>
      <c r="F64" s="1888" t="s">
        <v>830</v>
      </c>
      <c r="G64" s="1888" t="s">
        <v>830</v>
      </c>
      <c r="H64" s="1888" t="s">
        <v>830</v>
      </c>
      <c r="I64" s="1888" t="s">
        <v>830</v>
      </c>
      <c r="J64" s="1888" t="s">
        <v>830</v>
      </c>
      <c r="K64" s="1888" t="s">
        <v>830</v>
      </c>
      <c r="L64" s="1888" t="s">
        <v>830</v>
      </c>
      <c r="M64" s="1888" t="s">
        <v>830</v>
      </c>
      <c r="N64" s="3103" t="s">
        <v>830</v>
      </c>
      <c r="O64" s="3122"/>
      <c r="P64" s="1888"/>
      <c r="Q64" s="3103"/>
      <c r="R64" s="3138"/>
    </row>
    <row r="65" spans="1:18" s="1890" customFormat="1" ht="15.75" hidden="1" customHeight="1">
      <c r="A65" s="1884" t="s">
        <v>916</v>
      </c>
      <c r="B65" s="1885" t="s">
        <v>816</v>
      </c>
      <c r="C65" s="1886" t="s">
        <v>801</v>
      </c>
      <c r="D65" s="1888" t="s">
        <v>830</v>
      </c>
      <c r="E65" s="1888" t="s">
        <v>830</v>
      </c>
      <c r="F65" s="1888" t="s">
        <v>830</v>
      </c>
      <c r="G65" s="1888" t="s">
        <v>830</v>
      </c>
      <c r="H65" s="1888" t="s">
        <v>830</v>
      </c>
      <c r="I65" s="1888" t="s">
        <v>830</v>
      </c>
      <c r="J65" s="1888" t="s">
        <v>830</v>
      </c>
      <c r="K65" s="1888" t="s">
        <v>830</v>
      </c>
      <c r="L65" s="1888" t="s">
        <v>830</v>
      </c>
      <c r="M65" s="1888" t="s">
        <v>830</v>
      </c>
      <c r="N65" s="3103" t="s">
        <v>830</v>
      </c>
      <c r="O65" s="3122"/>
      <c r="P65" s="1888"/>
      <c r="Q65" s="3103"/>
      <c r="R65" s="3138"/>
    </row>
    <row r="66" spans="1:18" s="1890" customFormat="1" ht="15.75" hidden="1" customHeight="1">
      <c r="A66" s="1917" t="s">
        <v>917</v>
      </c>
      <c r="B66" s="1918" t="s">
        <v>900</v>
      </c>
      <c r="C66" s="1886" t="s">
        <v>801</v>
      </c>
      <c r="D66" s="1888" t="s">
        <v>830</v>
      </c>
      <c r="E66" s="1888" t="s">
        <v>830</v>
      </c>
      <c r="F66" s="1888" t="s">
        <v>830</v>
      </c>
      <c r="G66" s="1888" t="s">
        <v>830</v>
      </c>
      <c r="H66" s="1888" t="s">
        <v>830</v>
      </c>
      <c r="I66" s="1888" t="s">
        <v>830</v>
      </c>
      <c r="J66" s="1888" t="s">
        <v>830</v>
      </c>
      <c r="K66" s="1888" t="s">
        <v>830</v>
      </c>
      <c r="L66" s="1888" t="s">
        <v>830</v>
      </c>
      <c r="M66" s="1888" t="s">
        <v>830</v>
      </c>
      <c r="N66" s="3103" t="s">
        <v>830</v>
      </c>
      <c r="O66" s="3122"/>
      <c r="P66" s="1888"/>
      <c r="Q66" s="3103"/>
      <c r="R66" s="3138"/>
    </row>
    <row r="67" spans="1:18" s="1890" customFormat="1" ht="15.75" hidden="1" customHeight="1">
      <c r="A67" s="1919" t="s">
        <v>918</v>
      </c>
      <c r="B67" s="1920" t="s">
        <v>919</v>
      </c>
      <c r="C67" s="1886" t="s">
        <v>801</v>
      </c>
      <c r="D67" s="1888" t="s">
        <v>830</v>
      </c>
      <c r="E67" s="1888" t="s">
        <v>830</v>
      </c>
      <c r="F67" s="1888" t="s">
        <v>830</v>
      </c>
      <c r="G67" s="1888" t="s">
        <v>830</v>
      </c>
      <c r="H67" s="1888" t="s">
        <v>830</v>
      </c>
      <c r="I67" s="1888" t="s">
        <v>830</v>
      </c>
      <c r="J67" s="1888" t="s">
        <v>830</v>
      </c>
      <c r="K67" s="1888" t="s">
        <v>830</v>
      </c>
      <c r="L67" s="1888" t="s">
        <v>830</v>
      </c>
      <c r="M67" s="1888" t="s">
        <v>830</v>
      </c>
      <c r="N67" s="3103" t="s">
        <v>830</v>
      </c>
      <c r="O67" s="3122"/>
      <c r="P67" s="1888"/>
      <c r="Q67" s="3103"/>
      <c r="R67" s="3138"/>
    </row>
    <row r="68" spans="1:18" s="1890" customFormat="1" ht="15.75" hidden="1" customHeight="1">
      <c r="A68" s="1919" t="s">
        <v>920</v>
      </c>
      <c r="B68" s="1920" t="s">
        <v>921</v>
      </c>
      <c r="C68" s="1886" t="s">
        <v>801</v>
      </c>
      <c r="D68" s="1888" t="s">
        <v>830</v>
      </c>
      <c r="E68" s="1888" t="s">
        <v>830</v>
      </c>
      <c r="F68" s="1888" t="s">
        <v>830</v>
      </c>
      <c r="G68" s="1888" t="s">
        <v>830</v>
      </c>
      <c r="H68" s="1888" t="s">
        <v>830</v>
      </c>
      <c r="I68" s="1888" t="s">
        <v>830</v>
      </c>
      <c r="J68" s="1888" t="s">
        <v>830</v>
      </c>
      <c r="K68" s="1888" t="s">
        <v>830</v>
      </c>
      <c r="L68" s="1888" t="s">
        <v>830</v>
      </c>
      <c r="M68" s="1888" t="s">
        <v>830</v>
      </c>
      <c r="N68" s="3103" t="s">
        <v>830</v>
      </c>
      <c r="O68" s="3122"/>
      <c r="P68" s="1888"/>
      <c r="Q68" s="3103"/>
      <c r="R68" s="3138"/>
    </row>
    <row r="69" spans="1:18" s="1890" customFormat="1" ht="15.75" hidden="1" customHeight="1">
      <c r="A69" s="1919" t="s">
        <v>922</v>
      </c>
      <c r="B69" s="1920" t="s">
        <v>923</v>
      </c>
      <c r="C69" s="1886" t="s">
        <v>801</v>
      </c>
      <c r="D69" s="1888" t="s">
        <v>830</v>
      </c>
      <c r="E69" s="1888" t="s">
        <v>830</v>
      </c>
      <c r="F69" s="1888" t="s">
        <v>830</v>
      </c>
      <c r="G69" s="1888" t="s">
        <v>830</v>
      </c>
      <c r="H69" s="1888" t="s">
        <v>830</v>
      </c>
      <c r="I69" s="1888" t="s">
        <v>830</v>
      </c>
      <c r="J69" s="1888" t="s">
        <v>830</v>
      </c>
      <c r="K69" s="1888" t="s">
        <v>830</v>
      </c>
      <c r="L69" s="1888" t="s">
        <v>830</v>
      </c>
      <c r="M69" s="1888" t="s">
        <v>830</v>
      </c>
      <c r="N69" s="3103" t="s">
        <v>830</v>
      </c>
      <c r="O69" s="3122"/>
      <c r="P69" s="1888"/>
      <c r="Q69" s="3103"/>
      <c r="R69" s="3138"/>
    </row>
    <row r="70" spans="1:18" s="1890" customFormat="1" ht="15.75" hidden="1" customHeight="1">
      <c r="A70" s="1917" t="s">
        <v>924</v>
      </c>
      <c r="B70" s="1918" t="s">
        <v>910</v>
      </c>
      <c r="C70" s="1886" t="s">
        <v>801</v>
      </c>
      <c r="D70" s="1888" t="s">
        <v>830</v>
      </c>
      <c r="E70" s="1888" t="s">
        <v>830</v>
      </c>
      <c r="F70" s="1888" t="s">
        <v>830</v>
      </c>
      <c r="G70" s="1888" t="s">
        <v>830</v>
      </c>
      <c r="H70" s="1888" t="s">
        <v>830</v>
      </c>
      <c r="I70" s="1888" t="s">
        <v>830</v>
      </c>
      <c r="J70" s="1888" t="s">
        <v>830</v>
      </c>
      <c r="K70" s="1888" t="s">
        <v>830</v>
      </c>
      <c r="L70" s="1888" t="s">
        <v>830</v>
      </c>
      <c r="M70" s="1888" t="s">
        <v>830</v>
      </c>
      <c r="N70" s="3103" t="s">
        <v>830</v>
      </c>
      <c r="O70" s="3122"/>
      <c r="P70" s="1888"/>
      <c r="Q70" s="3103"/>
      <c r="R70" s="3138"/>
    </row>
    <row r="71" spans="1:18" s="1853" customFormat="1" ht="15.75">
      <c r="A71" s="1880">
        <v>8</v>
      </c>
      <c r="B71" s="1881" t="s">
        <v>925</v>
      </c>
      <c r="C71" s="1882"/>
      <c r="D71" s="1883" t="s">
        <v>830</v>
      </c>
      <c r="E71" s="1851" t="s">
        <v>830</v>
      </c>
      <c r="F71" s="1851" t="s">
        <v>830</v>
      </c>
      <c r="G71" s="1851" t="s">
        <v>830</v>
      </c>
      <c r="H71" s="1851" t="s">
        <v>830</v>
      </c>
      <c r="I71" s="1851" t="s">
        <v>830</v>
      </c>
      <c r="J71" s="1851" t="s">
        <v>830</v>
      </c>
      <c r="K71" s="1851" t="s">
        <v>830</v>
      </c>
      <c r="L71" s="1851" t="s">
        <v>830</v>
      </c>
      <c r="M71" s="1851" t="s">
        <v>830</v>
      </c>
      <c r="N71" s="3099" t="s">
        <v>830</v>
      </c>
      <c r="O71" s="3118"/>
      <c r="P71" s="2533"/>
      <c r="Q71" s="3131"/>
      <c r="R71" s="3137"/>
    </row>
    <row r="72" spans="1:18" s="1863" customFormat="1" ht="15.75" hidden="1" customHeight="1">
      <c r="A72" s="1892" t="s">
        <v>926</v>
      </c>
      <c r="B72" s="1893" t="s">
        <v>913</v>
      </c>
      <c r="C72" s="1894" t="s">
        <v>801</v>
      </c>
      <c r="D72" s="1896"/>
      <c r="E72" s="1896"/>
      <c r="F72" s="1897"/>
      <c r="G72" s="1897"/>
      <c r="H72" s="1897"/>
      <c r="I72" s="1897"/>
      <c r="J72" s="1896"/>
      <c r="K72" s="1896"/>
      <c r="L72" s="1897"/>
      <c r="M72" s="1897"/>
      <c r="N72" s="3104"/>
      <c r="O72" s="3123"/>
      <c r="P72" s="1897"/>
      <c r="Q72" s="3104"/>
      <c r="R72" s="3139"/>
    </row>
    <row r="73" spans="1:18" s="1863" customFormat="1" ht="15.75" hidden="1" customHeight="1">
      <c r="A73" s="1921" t="s">
        <v>927</v>
      </c>
      <c r="B73" s="1922" t="s">
        <v>888</v>
      </c>
      <c r="C73" s="1894" t="s">
        <v>801</v>
      </c>
      <c r="D73" s="1896"/>
      <c r="E73" s="1896"/>
      <c r="F73" s="1897"/>
      <c r="G73" s="1897"/>
      <c r="H73" s="1897"/>
      <c r="I73" s="1897"/>
      <c r="J73" s="1896"/>
      <c r="K73" s="1896"/>
      <c r="L73" s="1897"/>
      <c r="M73" s="1897"/>
      <c r="N73" s="3104"/>
      <c r="O73" s="3123"/>
      <c r="P73" s="1897"/>
      <c r="Q73" s="3104"/>
      <c r="R73" s="3139"/>
    </row>
    <row r="74" spans="1:18" s="1863" customFormat="1" ht="15.75" hidden="1" customHeight="1">
      <c r="A74" s="1921" t="s">
        <v>928</v>
      </c>
      <c r="B74" s="1922" t="s">
        <v>890</v>
      </c>
      <c r="C74" s="1894" t="s">
        <v>801</v>
      </c>
      <c r="D74" s="1896"/>
      <c r="E74" s="1896"/>
      <c r="F74" s="1897"/>
      <c r="G74" s="1897"/>
      <c r="H74" s="1897"/>
      <c r="I74" s="1897"/>
      <c r="J74" s="1896"/>
      <c r="K74" s="1896"/>
      <c r="L74" s="1897"/>
      <c r="M74" s="1897"/>
      <c r="N74" s="3104"/>
      <c r="O74" s="3123"/>
      <c r="P74" s="1897"/>
      <c r="Q74" s="3104"/>
      <c r="R74" s="3139"/>
    </row>
    <row r="75" spans="1:18" s="1863" customFormat="1" ht="15.75" hidden="1" customHeight="1">
      <c r="A75" s="1921" t="s">
        <v>929</v>
      </c>
      <c r="B75" s="1922" t="s">
        <v>930</v>
      </c>
      <c r="C75" s="1894" t="s">
        <v>801</v>
      </c>
      <c r="D75" s="1896"/>
      <c r="E75" s="1896"/>
      <c r="F75" s="1897"/>
      <c r="G75" s="1897"/>
      <c r="H75" s="1897"/>
      <c r="I75" s="1897"/>
      <c r="J75" s="1896"/>
      <c r="K75" s="1896"/>
      <c r="L75" s="1897"/>
      <c r="M75" s="1897"/>
      <c r="N75" s="3104"/>
      <c r="O75" s="3123"/>
      <c r="P75" s="1897"/>
      <c r="Q75" s="3104"/>
      <c r="R75" s="3139"/>
    </row>
    <row r="76" spans="1:18" s="1863" customFormat="1" ht="15.75" hidden="1" customHeight="1">
      <c r="A76" s="1921" t="s">
        <v>931</v>
      </c>
      <c r="B76" s="1922" t="s">
        <v>932</v>
      </c>
      <c r="C76" s="1894" t="s">
        <v>801</v>
      </c>
      <c r="D76" s="1896"/>
      <c r="E76" s="1896"/>
      <c r="F76" s="1897"/>
      <c r="G76" s="1897"/>
      <c r="H76" s="1897"/>
      <c r="I76" s="1897"/>
      <c r="J76" s="1896"/>
      <c r="K76" s="1896"/>
      <c r="L76" s="1897"/>
      <c r="M76" s="1897"/>
      <c r="N76" s="3104"/>
      <c r="O76" s="3123"/>
      <c r="P76" s="1897"/>
      <c r="Q76" s="3104"/>
      <c r="R76" s="3139"/>
    </row>
    <row r="77" spans="1:18" s="1863" customFormat="1" ht="15.75" hidden="1" customHeight="1">
      <c r="A77" s="1897" t="s">
        <v>933</v>
      </c>
      <c r="B77" s="1923" t="s">
        <v>934</v>
      </c>
      <c r="C77" s="1894" t="s">
        <v>801</v>
      </c>
      <c r="D77" s="1896"/>
      <c r="E77" s="1896"/>
      <c r="F77" s="1897"/>
      <c r="G77" s="1897"/>
      <c r="H77" s="1897"/>
      <c r="I77" s="1897"/>
      <c r="J77" s="1896"/>
      <c r="K77" s="1896"/>
      <c r="L77" s="1897"/>
      <c r="M77" s="1897"/>
      <c r="N77" s="3104"/>
      <c r="O77" s="3123"/>
      <c r="P77" s="1897"/>
      <c r="Q77" s="3104"/>
      <c r="R77" s="3139"/>
    </row>
    <row r="78" spans="1:18" s="1863" customFormat="1" ht="15.75" hidden="1" customHeight="1">
      <c r="A78" s="1897" t="s">
        <v>935</v>
      </c>
      <c r="B78" s="1923" t="s">
        <v>936</v>
      </c>
      <c r="C78" s="1894" t="s">
        <v>801</v>
      </c>
      <c r="D78" s="1896"/>
      <c r="E78" s="1896"/>
      <c r="F78" s="1897"/>
      <c r="G78" s="1897"/>
      <c r="H78" s="1897"/>
      <c r="I78" s="1897"/>
      <c r="J78" s="1896"/>
      <c r="K78" s="1896"/>
      <c r="L78" s="1897"/>
      <c r="M78" s="1897"/>
      <c r="N78" s="3104"/>
      <c r="O78" s="3123"/>
      <c r="P78" s="1897"/>
      <c r="Q78" s="3104"/>
      <c r="R78" s="3139"/>
    </row>
    <row r="79" spans="1:18" s="1863" customFormat="1" ht="15.75" hidden="1" customHeight="1">
      <c r="A79" s="1892" t="s">
        <v>937</v>
      </c>
      <c r="B79" s="1893" t="s">
        <v>894</v>
      </c>
      <c r="C79" s="1894"/>
      <c r="D79" s="1896"/>
      <c r="E79" s="1896"/>
      <c r="F79" s="1897"/>
      <c r="G79" s="1897"/>
      <c r="H79" s="1897"/>
      <c r="I79" s="1897"/>
      <c r="J79" s="1896"/>
      <c r="K79" s="1896"/>
      <c r="L79" s="1897"/>
      <c r="M79" s="1897"/>
      <c r="N79" s="3104"/>
      <c r="O79" s="3123"/>
      <c r="P79" s="1897"/>
      <c r="Q79" s="3104"/>
      <c r="R79" s="3139"/>
    </row>
    <row r="80" spans="1:18" s="1863" customFormat="1" ht="15.75" hidden="1" customHeight="1">
      <c r="A80" s="1921" t="s">
        <v>938</v>
      </c>
      <c r="B80" s="1922" t="s">
        <v>897</v>
      </c>
      <c r="C80" s="1894" t="s">
        <v>801</v>
      </c>
      <c r="D80" s="1896"/>
      <c r="E80" s="1896"/>
      <c r="F80" s="1897"/>
      <c r="G80" s="1897"/>
      <c r="H80" s="1897"/>
      <c r="I80" s="1897"/>
      <c r="J80" s="1896"/>
      <c r="K80" s="1896"/>
      <c r="L80" s="1897"/>
      <c r="M80" s="1897"/>
      <c r="N80" s="3104"/>
      <c r="O80" s="3123"/>
      <c r="P80" s="1897"/>
      <c r="Q80" s="3104"/>
      <c r="R80" s="3139"/>
    </row>
    <row r="81" spans="1:18" s="1863" customFormat="1" ht="15.75" hidden="1" customHeight="1">
      <c r="A81" s="1892" t="s">
        <v>939</v>
      </c>
      <c r="B81" s="1893" t="s">
        <v>816</v>
      </c>
      <c r="C81" s="1894" t="s">
        <v>801</v>
      </c>
      <c r="D81" s="1896"/>
      <c r="E81" s="1896"/>
      <c r="F81" s="1897"/>
      <c r="G81" s="1897"/>
      <c r="H81" s="1897"/>
      <c r="I81" s="1897"/>
      <c r="J81" s="1896"/>
      <c r="K81" s="1896"/>
      <c r="L81" s="1897"/>
      <c r="M81" s="1897"/>
      <c r="N81" s="3104"/>
      <c r="O81" s="3123"/>
      <c r="P81" s="1897"/>
      <c r="Q81" s="3104"/>
      <c r="R81" s="3139"/>
    </row>
    <row r="82" spans="1:18" s="1863" customFormat="1" ht="15.75" hidden="1" customHeight="1">
      <c r="A82" s="1921" t="s">
        <v>940</v>
      </c>
      <c r="B82" s="1922" t="s">
        <v>900</v>
      </c>
      <c r="C82" s="1894" t="s">
        <v>801</v>
      </c>
      <c r="D82" s="1896"/>
      <c r="E82" s="1896"/>
      <c r="F82" s="1897"/>
      <c r="G82" s="1897"/>
      <c r="H82" s="1897"/>
      <c r="I82" s="1897"/>
      <c r="J82" s="1896"/>
      <c r="K82" s="1896"/>
      <c r="L82" s="1897"/>
      <c r="M82" s="1897"/>
      <c r="N82" s="3104"/>
      <c r="O82" s="3123"/>
      <c r="P82" s="1897"/>
      <c r="Q82" s="3104"/>
      <c r="R82" s="3139"/>
    </row>
    <row r="83" spans="1:18" s="1863" customFormat="1" ht="15.75" hidden="1" customHeight="1">
      <c r="A83" s="1897" t="s">
        <v>941</v>
      </c>
      <c r="B83" s="1923" t="s">
        <v>919</v>
      </c>
      <c r="C83" s="1894" t="s">
        <v>801</v>
      </c>
      <c r="D83" s="1896"/>
      <c r="E83" s="1896"/>
      <c r="F83" s="1897"/>
      <c r="G83" s="1897"/>
      <c r="H83" s="1897"/>
      <c r="I83" s="1897"/>
      <c r="J83" s="1896"/>
      <c r="K83" s="1896"/>
      <c r="L83" s="1897"/>
      <c r="M83" s="1897"/>
      <c r="N83" s="3104"/>
      <c r="O83" s="3123"/>
      <c r="P83" s="1897"/>
      <c r="Q83" s="3104"/>
      <c r="R83" s="3139"/>
    </row>
    <row r="84" spans="1:18" s="1863" customFormat="1" ht="15.75" hidden="1" customHeight="1">
      <c r="A84" s="1897" t="s">
        <v>942</v>
      </c>
      <c r="B84" s="1923" t="s">
        <v>921</v>
      </c>
      <c r="C84" s="1894" t="s">
        <v>801</v>
      </c>
      <c r="D84" s="1896"/>
      <c r="E84" s="1896"/>
      <c r="F84" s="1897"/>
      <c r="G84" s="1897"/>
      <c r="H84" s="1897"/>
      <c r="I84" s="1897"/>
      <c r="J84" s="1896"/>
      <c r="K84" s="1896"/>
      <c r="L84" s="1897"/>
      <c r="M84" s="1897"/>
      <c r="N84" s="3104"/>
      <c r="O84" s="3123"/>
      <c r="P84" s="1897"/>
      <c r="Q84" s="3104"/>
      <c r="R84" s="3139"/>
    </row>
    <row r="85" spans="1:18" s="1863" customFormat="1" ht="15.75" hidden="1" customHeight="1">
      <c r="A85" s="1897" t="s">
        <v>943</v>
      </c>
      <c r="B85" s="1923" t="s">
        <v>923</v>
      </c>
      <c r="C85" s="1894" t="s">
        <v>801</v>
      </c>
      <c r="D85" s="1896"/>
      <c r="E85" s="1896"/>
      <c r="F85" s="1897"/>
      <c r="G85" s="1897"/>
      <c r="H85" s="1897"/>
      <c r="I85" s="1897"/>
      <c r="J85" s="1896"/>
      <c r="K85" s="1896"/>
      <c r="L85" s="1897"/>
      <c r="M85" s="1897"/>
      <c r="N85" s="3104"/>
      <c r="O85" s="3123"/>
      <c r="P85" s="1897"/>
      <c r="Q85" s="3104"/>
      <c r="R85" s="3139"/>
    </row>
    <row r="86" spans="1:18" s="1863" customFormat="1" ht="15.75" hidden="1" customHeight="1">
      <c r="A86" s="1921" t="s">
        <v>944</v>
      </c>
      <c r="B86" s="1922" t="s">
        <v>910</v>
      </c>
      <c r="C86" s="1894" t="s">
        <v>801</v>
      </c>
      <c r="D86" s="1896"/>
      <c r="E86" s="1896"/>
      <c r="F86" s="1897"/>
      <c r="G86" s="1897"/>
      <c r="H86" s="1897"/>
      <c r="I86" s="1897"/>
      <c r="J86" s="1896"/>
      <c r="K86" s="1896"/>
      <c r="L86" s="1897"/>
      <c r="M86" s="1897"/>
      <c r="N86" s="3104"/>
      <c r="O86" s="3123"/>
      <c r="P86" s="1897"/>
      <c r="Q86" s="3104"/>
      <c r="R86" s="3139"/>
    </row>
    <row r="87" spans="1:18" s="1927" customFormat="1" ht="15.75">
      <c r="A87" s="1899">
        <v>9</v>
      </c>
      <c r="B87" s="1900" t="s">
        <v>945</v>
      </c>
      <c r="C87" s="1924" t="s">
        <v>801</v>
      </c>
      <c r="D87" s="1903"/>
      <c r="E87" s="1925">
        <v>86.509364383561646</v>
      </c>
      <c r="F87" s="1899"/>
      <c r="G87" s="1925">
        <v>86.272999999999996</v>
      </c>
      <c r="H87" s="1899"/>
      <c r="I87" s="1925">
        <v>22.029565000000002</v>
      </c>
      <c r="J87" s="1903"/>
      <c r="K87" s="1925">
        <v>22.029565000000002</v>
      </c>
      <c r="L87" s="1925">
        <v>22.09</v>
      </c>
      <c r="M87" s="1925">
        <v>22.029565000000002</v>
      </c>
      <c r="N87" s="3108">
        <v>22.029565000000002</v>
      </c>
      <c r="O87" s="3128"/>
      <c r="P87" s="1925"/>
      <c r="Q87" s="3108"/>
      <c r="R87" s="3140"/>
    </row>
    <row r="88" spans="1:18" ht="31.5">
      <c r="A88" s="1871" t="s">
        <v>946</v>
      </c>
      <c r="B88" s="798" t="s">
        <v>947</v>
      </c>
      <c r="C88" s="799" t="s">
        <v>801</v>
      </c>
      <c r="D88" s="1928"/>
      <c r="E88" s="754">
        <v>89.945753424657539</v>
      </c>
      <c r="F88" s="1929"/>
      <c r="G88" s="754">
        <v>89.7</v>
      </c>
      <c r="H88" s="1929"/>
      <c r="I88" s="754">
        <v>27.417000000000002</v>
      </c>
      <c r="J88" s="1928"/>
      <c r="K88" s="754">
        <v>27.417000000000002</v>
      </c>
      <c r="L88" s="753">
        <v>27.492000000000001</v>
      </c>
      <c r="M88" s="753">
        <v>27.417000000000002</v>
      </c>
      <c r="N88" s="3102">
        <v>27.417000000000002</v>
      </c>
      <c r="O88" s="3121"/>
      <c r="P88" s="753"/>
      <c r="Q88" s="3102"/>
      <c r="R88" s="2643"/>
    </row>
    <row r="89" spans="1:18" ht="31.5">
      <c r="A89" s="1871" t="s">
        <v>948</v>
      </c>
      <c r="B89" s="798" t="s">
        <v>949</v>
      </c>
      <c r="C89" s="799" t="s">
        <v>801</v>
      </c>
      <c r="D89" s="1928"/>
      <c r="E89" s="754">
        <v>-3.4363890410958899</v>
      </c>
      <c r="F89" s="1929"/>
      <c r="G89" s="754">
        <v>-3.4269999999999996</v>
      </c>
      <c r="H89" s="1929"/>
      <c r="I89" s="754">
        <v>-5.387435</v>
      </c>
      <c r="J89" s="1928"/>
      <c r="K89" s="754">
        <v>-5.387435</v>
      </c>
      <c r="L89" s="753">
        <v>-5.4020000000000001</v>
      </c>
      <c r="M89" s="753">
        <v>-5.387435</v>
      </c>
      <c r="N89" s="3102">
        <v>-5.387435</v>
      </c>
      <c r="O89" s="3121"/>
      <c r="P89" s="753"/>
      <c r="Q89" s="3102"/>
      <c r="R89" s="2643"/>
    </row>
    <row r="90" spans="1:18" s="1927" customFormat="1" ht="48" thickBot="1">
      <c r="A90" s="1899">
        <v>10</v>
      </c>
      <c r="B90" s="1900" t="s">
        <v>950</v>
      </c>
      <c r="C90" s="1924" t="s">
        <v>801</v>
      </c>
      <c r="D90" s="1903"/>
      <c r="E90" s="1925">
        <v>7.28</v>
      </c>
      <c r="F90" s="1899"/>
      <c r="G90" s="1925">
        <v>992.33699999999999</v>
      </c>
      <c r="H90" s="1899"/>
      <c r="I90" s="1925">
        <v>73.666652999999997</v>
      </c>
      <c r="J90" s="1903"/>
      <c r="K90" s="1925">
        <v>-1024.3800000000001</v>
      </c>
      <c r="L90" s="1925">
        <v>432.608</v>
      </c>
      <c r="M90" s="1925">
        <v>283.899</v>
      </c>
      <c r="N90" s="3108">
        <v>248.41200000000001</v>
      </c>
      <c r="O90" s="3129"/>
      <c r="P90" s="3130"/>
      <c r="Q90" s="3132"/>
      <c r="R90" s="3140"/>
    </row>
    <row r="91" spans="1:18" s="762" customFormat="1" ht="15.75">
      <c r="A91" s="1899">
        <v>11</v>
      </c>
      <c r="B91" s="1900" t="s">
        <v>951</v>
      </c>
      <c r="C91" s="1930" t="s">
        <v>280</v>
      </c>
      <c r="D91" s="1931"/>
      <c r="E91" s="1931"/>
      <c r="F91" s="1932"/>
      <c r="G91" s="1932"/>
      <c r="H91" s="1932"/>
      <c r="I91" s="1932"/>
      <c r="J91" s="1931"/>
      <c r="K91" s="1931"/>
      <c r="L91" s="1933">
        <v>-1.0995654938457555E-2</v>
      </c>
      <c r="M91" s="1933">
        <v>-1.2540700883954451E-4</v>
      </c>
      <c r="N91" s="1933">
        <v>3.7812607588087163E-4</v>
      </c>
      <c r="O91" s="3109"/>
      <c r="P91" s="3109"/>
      <c r="Q91" s="3109"/>
      <c r="R91" s="1826"/>
    </row>
    <row r="92" spans="1:18" ht="18.75" customHeight="1">
      <c r="A92" s="1815"/>
      <c r="B92" s="1934"/>
      <c r="C92" s="1815"/>
      <c r="D92" s="1815"/>
      <c r="E92" s="1815"/>
      <c r="F92" s="1815"/>
      <c r="G92" s="1935"/>
      <c r="H92" s="1815"/>
      <c r="I92" s="1935"/>
      <c r="J92" s="1815"/>
      <c r="K92" s="1815"/>
      <c r="L92" s="1936"/>
      <c r="M92" s="1815"/>
      <c r="N92" s="1937"/>
      <c r="O92" s="1937"/>
      <c r="P92" s="1937"/>
      <c r="Q92" s="1937"/>
    </row>
    <row r="93" spans="1:18" s="811" customFormat="1" ht="30.75" customHeight="1">
      <c r="A93" s="3499" t="s">
        <v>841</v>
      </c>
      <c r="B93" s="3499"/>
      <c r="C93" s="1938"/>
      <c r="D93" s="1938"/>
      <c r="E93" s="1938"/>
      <c r="F93" s="1938"/>
      <c r="G93" s="1938"/>
      <c r="H93" s="1938"/>
      <c r="I93" s="1938"/>
      <c r="J93" s="1938"/>
      <c r="K93" s="1938"/>
      <c r="L93" s="1938"/>
      <c r="M93" s="812" t="s">
        <v>842</v>
      </c>
      <c r="N93" s="1938"/>
      <c r="O93" s="1938"/>
      <c r="P93" s="1938"/>
      <c r="Q93" s="1938"/>
      <c r="R93" s="1938"/>
    </row>
    <row r="94" spans="1:18" s="811" customFormat="1" ht="30.75" customHeight="1">
      <c r="A94" s="3499" t="s">
        <v>843</v>
      </c>
      <c r="B94" s="3499"/>
      <c r="C94" s="1938"/>
      <c r="D94" s="1938"/>
      <c r="E94" s="1938"/>
      <c r="F94" s="1938"/>
      <c r="G94" s="1938"/>
      <c r="H94" s="1938"/>
      <c r="I94" s="1938"/>
      <c r="J94" s="1938"/>
      <c r="K94" s="1938"/>
      <c r="L94" s="1938"/>
      <c r="M94" s="812" t="s">
        <v>844</v>
      </c>
      <c r="N94" s="1938"/>
      <c r="O94" s="1938"/>
      <c r="P94" s="1938"/>
      <c r="Q94" s="1938"/>
      <c r="R94" s="1938"/>
    </row>
  </sheetData>
  <mergeCells count="16">
    <mergeCell ref="R10:R11"/>
    <mergeCell ref="A8:N8"/>
    <mergeCell ref="A10:A11"/>
    <mergeCell ref="B10:B11"/>
    <mergeCell ref="C10:C11"/>
    <mergeCell ref="D10:E10"/>
    <mergeCell ref="O10:Q10"/>
    <mergeCell ref="N10:N11"/>
    <mergeCell ref="H59:N59"/>
    <mergeCell ref="A93:B93"/>
    <mergeCell ref="A94:B94"/>
    <mergeCell ref="F10:G10"/>
    <mergeCell ref="H10:I10"/>
    <mergeCell ref="J10:K10"/>
    <mergeCell ref="L10:L11"/>
    <mergeCell ref="M10:M11"/>
  </mergeCells>
  <printOptions horizontalCentered="1"/>
  <pageMargins left="0.39370078740157483" right="0.19685039370078741" top="0.23622047244094491" bottom="0.19685039370078741" header="0.15748031496062992" footer="0.15748031496062992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38</vt:i4>
      </vt:variant>
      <vt:variant>
        <vt:lpstr>Именованные диапазоны</vt:lpstr>
      </vt:variant>
      <vt:variant>
        <vt:i4>12</vt:i4>
      </vt:variant>
    </vt:vector>
  </HeadingPairs>
  <TitlesOfParts>
    <vt:vector size="50" baseType="lpstr">
      <vt:lpstr>Расчёт ВС методом индексации</vt:lpstr>
      <vt:lpstr>Неподконтрольные расходы ВС</vt:lpstr>
      <vt:lpstr>Базовый уровень опер.расх.ВС </vt:lpstr>
      <vt:lpstr>Смета ВС_2016 </vt:lpstr>
      <vt:lpstr>Смета ВС_2016</vt:lpstr>
      <vt:lpstr>расшифровки ВС_2016</vt:lpstr>
      <vt:lpstr>Цеховые расходы </vt:lpstr>
      <vt:lpstr>Зар.плата осн.персонала</vt:lpstr>
      <vt:lpstr>Баланс ВС_2016 (2)</vt:lpstr>
      <vt:lpstr>Баланс ВО 2016</vt:lpstr>
      <vt:lpstr>Баланс ВС_2016</vt:lpstr>
      <vt:lpstr>Админ. расх. (2)</vt:lpstr>
      <vt:lpstr>Кап.вложения</vt:lpstr>
      <vt:lpstr>ИПЦ</vt:lpstr>
      <vt:lpstr>Прилож1.1 по-новому</vt:lpstr>
      <vt:lpstr>Смета ВО_2016</vt:lpstr>
      <vt:lpstr>Смета ВО_-2016</vt:lpstr>
      <vt:lpstr>Смета ВО_2016 (2)</vt:lpstr>
      <vt:lpstr>Экспертиза ВО</vt:lpstr>
      <vt:lpstr>эксплуат. затр. по очистным</vt:lpstr>
      <vt:lpstr>затраты на ремонт  _6 мес.2015</vt:lpstr>
      <vt:lpstr>по объемам_2013</vt:lpstr>
      <vt:lpstr>по объемам_2014 (2)</vt:lpstr>
      <vt:lpstr>сбытовые расходы</vt:lpstr>
      <vt:lpstr>расшифровка кредитов</vt:lpstr>
      <vt:lpstr>охрана озер</vt:lpstr>
      <vt:lpstr>налоги</vt:lpstr>
      <vt:lpstr>материалы- ВС,ВО</vt:lpstr>
      <vt:lpstr>ФОТ по тек. и капит. ремонту</vt:lpstr>
      <vt:lpstr>расшифровки ВО_2016</vt:lpstr>
      <vt:lpstr>Неподконтрольные расходы В0</vt:lpstr>
      <vt:lpstr>Базовый уровень опер.расх.ВО</vt:lpstr>
      <vt:lpstr>Расчёт ВО методом индексаци </vt:lpstr>
      <vt:lpstr>опер. расх. всего_версия май</vt:lpstr>
      <vt:lpstr>индекс изменения активоа</vt:lpstr>
      <vt:lpstr>Экспертиза ВС</vt:lpstr>
      <vt:lpstr>Лист3</vt:lpstr>
      <vt:lpstr>Лист2</vt:lpstr>
      <vt:lpstr>'Зар.плата осн.персонала'!Заголовки_для_печати</vt:lpstr>
      <vt:lpstr>'Смета ВО_2016'!Заголовки_для_печати</vt:lpstr>
      <vt:lpstr>'Смета ВО_-2016'!Заголовки_для_печати</vt:lpstr>
      <vt:lpstr>'Смета ВО_2016 (2)'!Заголовки_для_печати</vt:lpstr>
      <vt:lpstr>'Смета ВС_2016'!Заголовки_для_печати</vt:lpstr>
      <vt:lpstr>'Смета ВС_2016 '!Заголовки_для_печати</vt:lpstr>
      <vt:lpstr>'Баланс ВО 2016'!Область_печати</vt:lpstr>
      <vt:lpstr>'Баланс ВС_2016'!Область_печати</vt:lpstr>
      <vt:lpstr>'Баланс ВС_2016 (2)'!Область_печати</vt:lpstr>
      <vt:lpstr>'Прилож1.1 по-новому'!Область_печати</vt:lpstr>
      <vt:lpstr>'расшифровки ВО_2016'!Область_печати</vt:lpstr>
      <vt:lpstr>'расшифровки ВС_2016'!Область_печати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Шумская Жанна Витальевна</cp:lastModifiedBy>
  <cp:lastPrinted>2015-12-28T07:34:27Z</cp:lastPrinted>
  <dcterms:created xsi:type="dcterms:W3CDTF">2014-07-02T08:23:03Z</dcterms:created>
  <dcterms:modified xsi:type="dcterms:W3CDTF">2015-12-28T07:59:31Z</dcterms:modified>
</cp:coreProperties>
</file>