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60" windowWidth="15330" windowHeight="8970" activeTab="1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подключение'!$A$1:$Z$486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R38" i="22"/>
  <c r="R37"/>
  <c r="R15"/>
  <c r="R14"/>
  <c r="S38" l="1"/>
  <c r="S37"/>
  <c r="S15"/>
  <c r="S14"/>
  <c r="S161"/>
  <c r="R161"/>
  <c r="S48"/>
  <c r="R48"/>
  <c r="Q38" l="1"/>
  <c r="Q15"/>
  <c r="Q161" l="1"/>
  <c r="R331" l="1"/>
  <c r="R330" s="1"/>
  <c r="Q331"/>
  <c r="Q330" s="1"/>
  <c r="S331"/>
  <c r="S330" s="1"/>
  <c r="S163"/>
  <c r="R163"/>
  <c r="S49"/>
  <c r="R49"/>
  <c r="Q163" l="1"/>
  <c r="Q48"/>
  <c r="Q186" l="1"/>
  <c r="Q188"/>
  <c r="Q457" s="1"/>
  <c r="Q471" s="1"/>
  <c r="Q184"/>
  <c r="G330" l="1"/>
  <c r="R137"/>
  <c r="Q7"/>
  <c r="V443" l="1"/>
  <c r="W443"/>
  <c r="V444"/>
  <c r="W444"/>
  <c r="V430"/>
  <c r="W430"/>
  <c r="V418"/>
  <c r="W418"/>
  <c r="V419"/>
  <c r="W419"/>
  <c r="V417"/>
  <c r="W417"/>
  <c r="V407"/>
  <c r="W407"/>
  <c r="V408"/>
  <c r="W408"/>
  <c r="V406"/>
  <c r="W406"/>
  <c r="V396"/>
  <c r="W396"/>
  <c r="V397"/>
  <c r="W397"/>
  <c r="V395"/>
  <c r="W395"/>
  <c r="V385"/>
  <c r="W385"/>
  <c r="V386"/>
  <c r="W386"/>
  <c r="V384"/>
  <c r="W384"/>
  <c r="V360"/>
  <c r="W360"/>
  <c r="V348"/>
  <c r="W348"/>
  <c r="V349"/>
  <c r="W349"/>
  <c r="V347"/>
  <c r="W347"/>
  <c r="V331"/>
  <c r="W331"/>
  <c r="V332"/>
  <c r="W332"/>
  <c r="V330"/>
  <c r="W330"/>
  <c r="V309"/>
  <c r="W309"/>
  <c r="V297"/>
  <c r="W297"/>
  <c r="V298"/>
  <c r="W298"/>
  <c r="V296"/>
  <c r="W296"/>
  <c r="V285"/>
  <c r="W285"/>
  <c r="V262"/>
  <c r="W262"/>
  <c r="V263"/>
  <c r="W263"/>
  <c r="V261"/>
  <c r="W261"/>
  <c r="V249"/>
  <c r="W249"/>
  <c r="V236"/>
  <c r="W236"/>
  <c r="V202"/>
  <c r="W202"/>
  <c r="V203"/>
  <c r="W203"/>
  <c r="V201"/>
  <c r="W201"/>
  <c r="V191"/>
  <c r="W191"/>
  <c r="V192"/>
  <c r="W192"/>
  <c r="V190"/>
  <c r="W190"/>
  <c r="V158"/>
  <c r="W158"/>
  <c r="V138"/>
  <c r="W138"/>
  <c r="V126"/>
  <c r="W126"/>
  <c r="V127"/>
  <c r="W127"/>
  <c r="V125"/>
  <c r="W125"/>
  <c r="V115"/>
  <c r="W115"/>
  <c r="V116"/>
  <c r="W116"/>
  <c r="V114"/>
  <c r="W114"/>
  <c r="V103"/>
  <c r="W103"/>
  <c r="V92"/>
  <c r="W92"/>
  <c r="V63"/>
  <c r="W63"/>
  <c r="V59"/>
  <c r="W59"/>
  <c r="V33"/>
  <c r="W33"/>
  <c r="V8"/>
  <c r="W8"/>
  <c r="S235" l="1"/>
  <c r="R235"/>
  <c r="R180"/>
  <c r="S180"/>
  <c r="R176"/>
  <c r="S176"/>
  <c r="R234" l="1"/>
  <c r="V234" s="1"/>
  <c r="V235"/>
  <c r="S234"/>
  <c r="W234" s="1"/>
  <c r="W235"/>
  <c r="Q157"/>
  <c r="R157" l="1"/>
  <c r="S157"/>
  <c r="R7"/>
  <c r="S7"/>
  <c r="S32"/>
  <c r="U444"/>
  <c r="U443"/>
  <c r="U441"/>
  <c r="U440"/>
  <c r="U439"/>
  <c r="U438"/>
  <c r="U437"/>
  <c r="U436"/>
  <c r="U435"/>
  <c r="U434"/>
  <c r="U433"/>
  <c r="U432"/>
  <c r="U431"/>
  <c r="U430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75"/>
  <c r="U371"/>
  <c r="U370"/>
  <c r="U369"/>
  <c r="U368"/>
  <c r="U367"/>
  <c r="U366"/>
  <c r="U365"/>
  <c r="U364"/>
  <c r="U362"/>
  <c r="U360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2"/>
  <c r="U331"/>
  <c r="U330"/>
  <c r="U318"/>
  <c r="U317"/>
  <c r="U316"/>
  <c r="U315"/>
  <c r="U314"/>
  <c r="U313"/>
  <c r="U312"/>
  <c r="U311"/>
  <c r="U310"/>
  <c r="U309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5"/>
  <c r="U287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1"/>
  <c r="U252"/>
  <c r="U249"/>
  <c r="U246"/>
  <c r="U245"/>
  <c r="U244"/>
  <c r="U243"/>
  <c r="U242"/>
  <c r="U241"/>
  <c r="U240"/>
  <c r="U239"/>
  <c r="U236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8"/>
  <c r="U186"/>
  <c r="U185"/>
  <c r="U183"/>
  <c r="U179"/>
  <c r="U175"/>
  <c r="U170"/>
  <c r="U160"/>
  <c r="U165"/>
  <c r="U167"/>
  <c r="U137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3"/>
  <c r="U92"/>
  <c r="U94"/>
  <c r="U80"/>
  <c r="U79"/>
  <c r="U77"/>
  <c r="U78"/>
  <c r="U76"/>
  <c r="U75"/>
  <c r="U74"/>
  <c r="U73"/>
  <c r="U55"/>
  <c r="U56"/>
  <c r="U57"/>
  <c r="U58"/>
  <c r="U59"/>
  <c r="U53"/>
  <c r="U40"/>
  <c r="U42"/>
  <c r="U43"/>
  <c r="U44"/>
  <c r="U45"/>
  <c r="U46"/>
  <c r="U47"/>
  <c r="U51"/>
  <c r="U33"/>
  <c r="U28"/>
  <c r="U10"/>
  <c r="U9"/>
  <c r="Q429"/>
  <c r="Q428" s="1"/>
  <c r="T442"/>
  <c r="P442"/>
  <c r="T429"/>
  <c r="T418"/>
  <c r="T407"/>
  <c r="T396"/>
  <c r="T386"/>
  <c r="T385"/>
  <c r="P384"/>
  <c r="T349"/>
  <c r="T348"/>
  <c r="T331"/>
  <c r="T262"/>
  <c r="T263"/>
  <c r="T202"/>
  <c r="T137"/>
  <c r="T126"/>
  <c r="T115"/>
  <c r="T104"/>
  <c r="T93"/>
  <c r="S456"/>
  <c r="S470" s="1"/>
  <c r="R456"/>
  <c r="R470" s="1"/>
  <c r="Q456"/>
  <c r="Q470" s="1"/>
  <c r="P456"/>
  <c r="P470" s="1"/>
  <c r="S455"/>
  <c r="S469" s="1"/>
  <c r="S468" s="1"/>
  <c r="R455"/>
  <c r="R469" s="1"/>
  <c r="R468" s="1"/>
  <c r="Q455"/>
  <c r="Q469" s="1"/>
  <c r="Q468" s="1"/>
  <c r="P455"/>
  <c r="P469" s="1"/>
  <c r="P468" s="1"/>
  <c r="S454"/>
  <c r="R454"/>
  <c r="Q454"/>
  <c r="P454"/>
  <c r="S448"/>
  <c r="R448"/>
  <c r="Q448"/>
  <c r="P448"/>
  <c r="Q442"/>
  <c r="S429"/>
  <c r="R429"/>
  <c r="S428"/>
  <c r="R428"/>
  <c r="P428"/>
  <c r="P417"/>
  <c r="P406"/>
  <c r="S359"/>
  <c r="S358" s="1"/>
  <c r="R359"/>
  <c r="R358" s="1"/>
  <c r="Q359"/>
  <c r="Q358" s="1"/>
  <c r="P347"/>
  <c r="P330"/>
  <c r="S308"/>
  <c r="S307" s="1"/>
  <c r="R308"/>
  <c r="R307" s="1"/>
  <c r="Q308"/>
  <c r="Q307" s="1"/>
  <c r="P307"/>
  <c r="P296"/>
  <c r="S284"/>
  <c r="S283" s="1"/>
  <c r="R284"/>
  <c r="R283" s="1"/>
  <c r="Q284"/>
  <c r="Q283" s="1"/>
  <c r="P283"/>
  <c r="P261"/>
  <c r="S248"/>
  <c r="S247" s="1"/>
  <c r="R248"/>
  <c r="R247" s="1"/>
  <c r="Q248"/>
  <c r="Q247" s="1"/>
  <c r="Q235" s="1"/>
  <c r="Q234" s="1"/>
  <c r="U234" s="1"/>
  <c r="P247"/>
  <c r="P234"/>
  <c r="P201"/>
  <c r="T201" s="1"/>
  <c r="P190"/>
  <c r="S184"/>
  <c r="R184"/>
  <c r="P184"/>
  <c r="S453"/>
  <c r="R453"/>
  <c r="Q180"/>
  <c r="Q453" s="1"/>
  <c r="P180"/>
  <c r="P453" s="1"/>
  <c r="S452"/>
  <c r="R452"/>
  <c r="Q176"/>
  <c r="Q452" s="1"/>
  <c r="P176"/>
  <c r="P452" s="1"/>
  <c r="S172"/>
  <c r="S451" s="1"/>
  <c r="R172"/>
  <c r="R451" s="1"/>
  <c r="Q172"/>
  <c r="Q451" s="1"/>
  <c r="P172"/>
  <c r="P451" s="1"/>
  <c r="S171"/>
  <c r="R171"/>
  <c r="Q171"/>
  <c r="P171"/>
  <c r="S169"/>
  <c r="R169"/>
  <c r="Q169"/>
  <c r="Q156" s="1"/>
  <c r="P169"/>
  <c r="S156"/>
  <c r="S148"/>
  <c r="R148"/>
  <c r="Q148"/>
  <c r="P148"/>
  <c r="S143"/>
  <c r="S463" s="1"/>
  <c r="S462" s="1"/>
  <c r="R143"/>
  <c r="R463" s="1"/>
  <c r="R462" s="1"/>
  <c r="Q143"/>
  <c r="Q463" s="1"/>
  <c r="Q462" s="1"/>
  <c r="S142"/>
  <c r="R142"/>
  <c r="Q142"/>
  <c r="P140"/>
  <c r="S136"/>
  <c r="R136"/>
  <c r="Q136"/>
  <c r="P136"/>
  <c r="P125"/>
  <c r="P114"/>
  <c r="P103"/>
  <c r="P95"/>
  <c r="P92" s="1"/>
  <c r="S61"/>
  <c r="R61"/>
  <c r="Q61"/>
  <c r="P61"/>
  <c r="S472"/>
  <c r="R472"/>
  <c r="Q472"/>
  <c r="P472"/>
  <c r="S54"/>
  <c r="R54"/>
  <c r="Q54"/>
  <c r="P54"/>
  <c r="P53"/>
  <c r="P143" s="1"/>
  <c r="S52"/>
  <c r="R52"/>
  <c r="Q52"/>
  <c r="P52"/>
  <c r="R32"/>
  <c r="Q32"/>
  <c r="R31"/>
  <c r="Q31"/>
  <c r="P31"/>
  <c r="S26"/>
  <c r="S147" s="1"/>
  <c r="R26"/>
  <c r="R147" s="1"/>
  <c r="Q26"/>
  <c r="Q147" s="1"/>
  <c r="P26"/>
  <c r="P147" s="1"/>
  <c r="S24"/>
  <c r="S146" s="1"/>
  <c r="R24"/>
  <c r="R146" s="1"/>
  <c r="Q24"/>
  <c r="Q146" s="1"/>
  <c r="P24"/>
  <c r="P146" s="1"/>
  <c r="S22"/>
  <c r="S145" s="1"/>
  <c r="S144" s="1"/>
  <c r="R22"/>
  <c r="R145" s="1"/>
  <c r="R144" s="1"/>
  <c r="Q22"/>
  <c r="Q145" s="1"/>
  <c r="Q144" s="1"/>
  <c r="P22"/>
  <c r="P145" s="1"/>
  <c r="P144" s="1"/>
  <c r="S21"/>
  <c r="R21"/>
  <c r="Q21"/>
  <c r="P21"/>
  <c r="S19"/>
  <c r="R19"/>
  <c r="Q19"/>
  <c r="P19"/>
  <c r="Q140"/>
  <c r="Q6"/>
  <c r="T145" i="23"/>
  <c r="T112"/>
  <c r="T111"/>
  <c r="T101"/>
  <c r="T100"/>
  <c r="T55"/>
  <c r="T56"/>
  <c r="T44"/>
  <c r="T66" s="1"/>
  <c r="P66"/>
  <c r="P54"/>
  <c r="T54" s="1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P167" s="1"/>
  <c r="S151"/>
  <c r="S166" s="1"/>
  <c r="R151"/>
  <c r="R166" s="1"/>
  <c r="Q151"/>
  <c r="Q166" s="1"/>
  <c r="P151"/>
  <c r="P166" s="1"/>
  <c r="S150"/>
  <c r="S165" s="1"/>
  <c r="S164" s="1"/>
  <c r="R150"/>
  <c r="R165" s="1"/>
  <c r="R164" s="1"/>
  <c r="Q150"/>
  <c r="Q165" s="1"/>
  <c r="Q164" s="1"/>
  <c r="P150"/>
  <c r="P165" s="1"/>
  <c r="P164" s="1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/>
  <c r="P69"/>
  <c r="P163" s="1"/>
  <c r="P162" s="1"/>
  <c r="P65"/>
  <c r="T65" s="1"/>
  <c r="P43"/>
  <c r="P32"/>
  <c r="P10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0"/>
  <c r="V160"/>
  <c r="U160"/>
  <c r="W159"/>
  <c r="V159"/>
  <c r="U159"/>
  <c r="N160"/>
  <c r="T161"/>
  <c r="T162"/>
  <c r="T163"/>
  <c r="T164"/>
  <c r="T165"/>
  <c r="T166"/>
  <c r="T167"/>
  <c r="T168"/>
  <c r="T169"/>
  <c r="T170"/>
  <c r="T133"/>
  <c r="L160"/>
  <c r="O160"/>
  <c r="M163"/>
  <c r="M162" s="1"/>
  <c r="M165"/>
  <c r="M164" s="1"/>
  <c r="M166"/>
  <c r="M167"/>
  <c r="M169"/>
  <c r="M168" s="1"/>
  <c r="N169"/>
  <c r="N168" s="1"/>
  <c r="M170"/>
  <c r="N170"/>
  <c r="T156"/>
  <c r="T155"/>
  <c r="T154"/>
  <c r="T153"/>
  <c r="L145"/>
  <c r="L144"/>
  <c r="T134"/>
  <c r="T135"/>
  <c r="T136"/>
  <c r="T137"/>
  <c r="T148" s="1"/>
  <c r="T147" s="1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50" s="1"/>
  <c r="T107"/>
  <c r="T151" s="1"/>
  <c r="T108"/>
  <c r="T152" s="1"/>
  <c r="T109"/>
  <c r="T110"/>
  <c r="T90"/>
  <c r="T91"/>
  <c r="T92"/>
  <c r="T93"/>
  <c r="T94"/>
  <c r="T95"/>
  <c r="T96"/>
  <c r="T97"/>
  <c r="T98"/>
  <c r="T99"/>
  <c r="T89"/>
  <c r="T73"/>
  <c r="T72"/>
  <c r="T71"/>
  <c r="T70"/>
  <c r="T69"/>
  <c r="L66"/>
  <c r="T57"/>
  <c r="T58"/>
  <c r="T59"/>
  <c r="T60"/>
  <c r="T61"/>
  <c r="T62"/>
  <c r="T63"/>
  <c r="T64"/>
  <c r="T48"/>
  <c r="T49"/>
  <c r="T50"/>
  <c r="T51"/>
  <c r="T52"/>
  <c r="T53"/>
  <c r="T4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5"/>
  <c r="V145"/>
  <c r="U145"/>
  <c r="W144"/>
  <c r="V144"/>
  <c r="U144"/>
  <c r="N145"/>
  <c r="O145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N153" s="1"/>
  <c r="O154"/>
  <c r="N155"/>
  <c r="O155"/>
  <c r="O170" s="1"/>
  <c r="N156"/>
  <c r="O156"/>
  <c r="M156"/>
  <c r="M155"/>
  <c r="M154"/>
  <c r="M153"/>
  <c r="M152"/>
  <c r="M151"/>
  <c r="M150"/>
  <c r="M149"/>
  <c r="M148"/>
  <c r="M147"/>
  <c r="M145"/>
  <c r="M160" s="1"/>
  <c r="M144"/>
  <c r="N60" i="22"/>
  <c r="V60" s="1"/>
  <c r="M17"/>
  <c r="U17" s="1"/>
  <c r="L283"/>
  <c r="P6" l="1"/>
  <c r="R6"/>
  <c r="S6"/>
  <c r="P156"/>
  <c r="S31"/>
  <c r="R156"/>
  <c r="U235"/>
  <c r="R140"/>
  <c r="S140"/>
  <c r="Q446"/>
  <c r="Q460" s="1"/>
  <c r="R446"/>
  <c r="S446"/>
  <c r="P463"/>
  <c r="P462" s="1"/>
  <c r="P142"/>
  <c r="P465"/>
  <c r="P450"/>
  <c r="Q465"/>
  <c r="Q450"/>
  <c r="R465"/>
  <c r="R450"/>
  <c r="S465"/>
  <c r="S450"/>
  <c r="P466"/>
  <c r="Q466"/>
  <c r="R466"/>
  <c r="S466"/>
  <c r="P467"/>
  <c r="Q467"/>
  <c r="R467"/>
  <c r="S467"/>
  <c r="P150"/>
  <c r="Q150"/>
  <c r="Q139" s="1"/>
  <c r="R150"/>
  <c r="S150"/>
  <c r="P160" i="23"/>
  <c r="T160" s="1"/>
  <c r="P159"/>
  <c r="T159" s="1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8" i="22"/>
  <c r="N137"/>
  <c r="M15"/>
  <c r="U15" s="1"/>
  <c r="N39"/>
  <c r="O39"/>
  <c r="R460" l="1"/>
  <c r="R139"/>
  <c r="R445"/>
  <c r="S445"/>
  <c r="Q445"/>
  <c r="S460"/>
  <c r="S139"/>
  <c r="S464"/>
  <c r="R464"/>
  <c r="Q464"/>
  <c r="Q459" s="1"/>
  <c r="P464"/>
  <c r="P139"/>
  <c r="N162"/>
  <c r="R459" l="1"/>
  <c r="S459"/>
  <c r="O432"/>
  <c r="N432"/>
  <c r="M41" l="1"/>
  <c r="M60"/>
  <c r="N15"/>
  <c r="N37"/>
  <c r="N14"/>
  <c r="O37"/>
  <c r="O38"/>
  <c r="O14"/>
  <c r="O15"/>
  <c r="O162"/>
  <c r="O159"/>
  <c r="N159"/>
  <c r="O41"/>
  <c r="N41"/>
  <c r="O163"/>
  <c r="N163"/>
  <c r="O161"/>
  <c r="N161"/>
  <c r="N23"/>
  <c r="O16"/>
  <c r="N16"/>
  <c r="M159"/>
  <c r="O181"/>
  <c r="N181"/>
  <c r="O177"/>
  <c r="N177"/>
  <c r="O173"/>
  <c r="N173"/>
  <c r="O286"/>
  <c r="N286"/>
  <c r="O287"/>
  <c r="N287"/>
  <c r="O433"/>
  <c r="N433"/>
  <c r="O429"/>
  <c r="N429"/>
  <c r="M150" l="1"/>
  <c r="U60"/>
  <c r="O23"/>
  <c r="M162" l="1"/>
  <c r="M39"/>
  <c r="U39" s="1"/>
  <c r="M163"/>
  <c r="M173"/>
  <c r="M177"/>
  <c r="M181"/>
  <c r="M180" s="1"/>
  <c r="M16"/>
  <c r="M7"/>
  <c r="M23"/>
  <c r="M38"/>
  <c r="U38" l="1"/>
  <c r="M32"/>
  <c r="M31" s="1"/>
  <c r="M161"/>
  <c r="U161" s="1"/>
  <c r="M286"/>
  <c r="U286" s="1"/>
  <c r="N284"/>
  <c r="O284"/>
  <c r="M284"/>
  <c r="O60"/>
  <c r="W60" s="1"/>
  <c r="N27"/>
  <c r="O27"/>
  <c r="O283" l="1"/>
  <c r="W283" s="1"/>
  <c r="W284"/>
  <c r="N283"/>
  <c r="V283" s="1"/>
  <c r="V284"/>
  <c r="M283"/>
  <c r="U283" s="1"/>
  <c r="U284"/>
  <c r="M157"/>
  <c r="N250"/>
  <c r="N361"/>
  <c r="N428" l="1"/>
  <c r="O428"/>
  <c r="O361"/>
  <c r="O308"/>
  <c r="O307" s="1"/>
  <c r="N308"/>
  <c r="N307" s="1"/>
  <c r="M308"/>
  <c r="O250"/>
  <c r="N248"/>
  <c r="O248"/>
  <c r="N174"/>
  <c r="N178"/>
  <c r="O178"/>
  <c r="O174"/>
  <c r="O28"/>
  <c r="O247" l="1"/>
  <c r="W247" s="1"/>
  <c r="W248"/>
  <c r="N247"/>
  <c r="V247" s="1"/>
  <c r="V248"/>
  <c r="M429"/>
  <c r="M361"/>
  <c r="U361" s="1"/>
  <c r="M428" l="1"/>
  <c r="U429"/>
  <c r="M250"/>
  <c r="M178"/>
  <c r="M176" s="1"/>
  <c r="M174"/>
  <c r="M172" s="1"/>
  <c r="M248" l="1"/>
  <c r="U248" s="1"/>
  <c r="U250"/>
  <c r="M247"/>
  <c r="U247" s="1"/>
  <c r="M307"/>
  <c r="L307"/>
  <c r="O363" l="1"/>
  <c r="N363"/>
  <c r="N359" s="1"/>
  <c r="O47"/>
  <c r="N47"/>
  <c r="N32" s="1"/>
  <c r="N7" l="1"/>
  <c r="M363"/>
  <c r="U363" s="1"/>
  <c r="M27"/>
  <c r="M26" s="1"/>
  <c r="N157"/>
  <c r="M136"/>
  <c r="N136"/>
  <c r="O136"/>
  <c r="O157"/>
  <c r="O359"/>
  <c r="O358" s="1"/>
  <c r="N358"/>
  <c r="M184"/>
  <c r="N184"/>
  <c r="O184"/>
  <c r="N180"/>
  <c r="O180"/>
  <c r="N176"/>
  <c r="O176"/>
  <c r="N172"/>
  <c r="O172"/>
  <c r="H169"/>
  <c r="I169"/>
  <c r="J169"/>
  <c r="K169"/>
  <c r="L169"/>
  <c r="M169"/>
  <c r="N169"/>
  <c r="O169"/>
  <c r="M61"/>
  <c r="N61"/>
  <c r="O61"/>
  <c r="H19"/>
  <c r="I19"/>
  <c r="J19"/>
  <c r="K19"/>
  <c r="L19"/>
  <c r="M19"/>
  <c r="N19"/>
  <c r="O19"/>
  <c r="M54"/>
  <c r="U54" s="1"/>
  <c r="N54"/>
  <c r="O54"/>
  <c r="M52"/>
  <c r="U52" s="1"/>
  <c r="N52"/>
  <c r="N31" s="1"/>
  <c r="O52"/>
  <c r="O32"/>
  <c r="O31" s="1"/>
  <c r="U19" l="1"/>
  <c r="U169"/>
  <c r="M140"/>
  <c r="O171"/>
  <c r="N171"/>
  <c r="N156" s="1"/>
  <c r="O156"/>
  <c r="N26"/>
  <c r="O26"/>
  <c r="N24"/>
  <c r="O24"/>
  <c r="N22"/>
  <c r="N21" s="1"/>
  <c r="N6" s="1"/>
  <c r="O22"/>
  <c r="O21" s="1"/>
  <c r="O7"/>
  <c r="O6" l="1"/>
  <c r="M359"/>
  <c r="M446" s="1"/>
  <c r="I359"/>
  <c r="M171"/>
  <c r="M156" s="1"/>
  <c r="L22"/>
  <c r="M22"/>
  <c r="L24"/>
  <c r="M24"/>
  <c r="L26"/>
  <c r="W448"/>
  <c r="W441"/>
  <c r="W440"/>
  <c r="W439"/>
  <c r="W438"/>
  <c r="W437"/>
  <c r="W436"/>
  <c r="W435"/>
  <c r="W434"/>
  <c r="W431"/>
  <c r="W427"/>
  <c r="W426"/>
  <c r="W425"/>
  <c r="W424"/>
  <c r="W423"/>
  <c r="W422"/>
  <c r="W421"/>
  <c r="W420"/>
  <c r="W416"/>
  <c r="W415"/>
  <c r="W414"/>
  <c r="W413"/>
  <c r="W412"/>
  <c r="W411"/>
  <c r="W410"/>
  <c r="W409"/>
  <c r="W405"/>
  <c r="W404"/>
  <c r="W403"/>
  <c r="W402"/>
  <c r="W401"/>
  <c r="W400"/>
  <c r="W399"/>
  <c r="W398"/>
  <c r="W394"/>
  <c r="W393"/>
  <c r="W392"/>
  <c r="W391"/>
  <c r="W390"/>
  <c r="W389"/>
  <c r="W388"/>
  <c r="W387"/>
  <c r="W383"/>
  <c r="W382"/>
  <c r="W381"/>
  <c r="W380"/>
  <c r="W379"/>
  <c r="W378"/>
  <c r="W377"/>
  <c r="W376"/>
  <c r="W371"/>
  <c r="W370"/>
  <c r="W369"/>
  <c r="W368"/>
  <c r="W367"/>
  <c r="W366"/>
  <c r="W365"/>
  <c r="W364"/>
  <c r="W363"/>
  <c r="W361"/>
  <c r="W357"/>
  <c r="W356"/>
  <c r="W355"/>
  <c r="W354"/>
  <c r="W353"/>
  <c r="W352"/>
  <c r="W351"/>
  <c r="W350"/>
  <c r="W346"/>
  <c r="W345"/>
  <c r="W344"/>
  <c r="W343"/>
  <c r="W342"/>
  <c r="W341"/>
  <c r="W340"/>
  <c r="W339"/>
  <c r="W318"/>
  <c r="W317"/>
  <c r="W316"/>
  <c r="W315"/>
  <c r="W314"/>
  <c r="W313"/>
  <c r="W312"/>
  <c r="W311"/>
  <c r="W310"/>
  <c r="W306"/>
  <c r="W305"/>
  <c r="W304"/>
  <c r="W303"/>
  <c r="W302"/>
  <c r="W301"/>
  <c r="W300"/>
  <c r="W299"/>
  <c r="W295"/>
  <c r="W294"/>
  <c r="W293"/>
  <c r="W292"/>
  <c r="W291"/>
  <c r="W290"/>
  <c r="W289"/>
  <c r="W288"/>
  <c r="W271"/>
  <c r="W270"/>
  <c r="W269"/>
  <c r="W268"/>
  <c r="W267"/>
  <c r="W266"/>
  <c r="W265"/>
  <c r="W264"/>
  <c r="W260"/>
  <c r="W259"/>
  <c r="W258"/>
  <c r="W257"/>
  <c r="W256"/>
  <c r="W255"/>
  <c r="W254"/>
  <c r="W253"/>
  <c r="W246"/>
  <c r="W245"/>
  <c r="W244"/>
  <c r="W243"/>
  <c r="W242"/>
  <c r="W241"/>
  <c r="W240"/>
  <c r="W239"/>
  <c r="W211"/>
  <c r="W210"/>
  <c r="W209"/>
  <c r="W208"/>
  <c r="W207"/>
  <c r="W206"/>
  <c r="W205"/>
  <c r="W204"/>
  <c r="W200"/>
  <c r="W199"/>
  <c r="W198"/>
  <c r="W197"/>
  <c r="W196"/>
  <c r="W195"/>
  <c r="W194"/>
  <c r="W193"/>
  <c r="W188"/>
  <c r="W187"/>
  <c r="W186"/>
  <c r="W456" s="1"/>
  <c r="W470" s="1"/>
  <c r="W185"/>
  <c r="W455" s="1"/>
  <c r="W183"/>
  <c r="W175"/>
  <c r="W170"/>
  <c r="W169"/>
  <c r="V448"/>
  <c r="V441"/>
  <c r="V440"/>
  <c r="V439"/>
  <c r="V438"/>
  <c r="V437"/>
  <c r="V436"/>
  <c r="V435"/>
  <c r="V434"/>
  <c r="V431"/>
  <c r="V427"/>
  <c r="V426"/>
  <c r="V425"/>
  <c r="V424"/>
  <c r="V423"/>
  <c r="V422"/>
  <c r="V421"/>
  <c r="V420"/>
  <c r="V416"/>
  <c r="V415"/>
  <c r="V414"/>
  <c r="V413"/>
  <c r="V412"/>
  <c r="V411"/>
  <c r="V410"/>
  <c r="V409"/>
  <c r="V405"/>
  <c r="V404"/>
  <c r="V403"/>
  <c r="V402"/>
  <c r="V401"/>
  <c r="V400"/>
  <c r="V399"/>
  <c r="V398"/>
  <c r="V394"/>
  <c r="V393"/>
  <c r="V392"/>
  <c r="V391"/>
  <c r="V390"/>
  <c r="V389"/>
  <c r="V388"/>
  <c r="V387"/>
  <c r="V383"/>
  <c r="V382"/>
  <c r="V381"/>
  <c r="V380"/>
  <c r="V379"/>
  <c r="V378"/>
  <c r="V377"/>
  <c r="V376"/>
  <c r="V371"/>
  <c r="V370"/>
  <c r="V369"/>
  <c r="V368"/>
  <c r="V367"/>
  <c r="V366"/>
  <c r="V365"/>
  <c r="V364"/>
  <c r="V363"/>
  <c r="V361"/>
  <c r="V357"/>
  <c r="V356"/>
  <c r="V355"/>
  <c r="V354"/>
  <c r="V353"/>
  <c r="V352"/>
  <c r="V351"/>
  <c r="V350"/>
  <c r="V346"/>
  <c r="V345"/>
  <c r="V344"/>
  <c r="V343"/>
  <c r="V342"/>
  <c r="V341"/>
  <c r="V340"/>
  <c r="V339"/>
  <c r="V318"/>
  <c r="V317"/>
  <c r="V316"/>
  <c r="V315"/>
  <c r="V314"/>
  <c r="V313"/>
  <c r="V312"/>
  <c r="V311"/>
  <c r="V310"/>
  <c r="V306"/>
  <c r="V305"/>
  <c r="V304"/>
  <c r="V303"/>
  <c r="V302"/>
  <c r="V301"/>
  <c r="V300"/>
  <c r="V299"/>
  <c r="V295"/>
  <c r="V294"/>
  <c r="V293"/>
  <c r="V292"/>
  <c r="V291"/>
  <c r="V290"/>
  <c r="V289"/>
  <c r="V288"/>
  <c r="V271"/>
  <c r="V270"/>
  <c r="V269"/>
  <c r="V268"/>
  <c r="V267"/>
  <c r="V266"/>
  <c r="V265"/>
  <c r="V264"/>
  <c r="V260"/>
  <c r="V259"/>
  <c r="V258"/>
  <c r="V257"/>
  <c r="V256"/>
  <c r="V255"/>
  <c r="V254"/>
  <c r="V253"/>
  <c r="V246"/>
  <c r="V245"/>
  <c r="V244"/>
  <c r="V243"/>
  <c r="V242"/>
  <c r="V241"/>
  <c r="V240"/>
  <c r="V239"/>
  <c r="V211"/>
  <c r="V210"/>
  <c r="V209"/>
  <c r="V208"/>
  <c r="V207"/>
  <c r="V206"/>
  <c r="V205"/>
  <c r="V204"/>
  <c r="V200"/>
  <c r="V199"/>
  <c r="V198"/>
  <c r="V197"/>
  <c r="V196"/>
  <c r="V195"/>
  <c r="V194"/>
  <c r="V193"/>
  <c r="V188"/>
  <c r="V187"/>
  <c r="V186"/>
  <c r="V456" s="1"/>
  <c r="V470" s="1"/>
  <c r="V185"/>
  <c r="V455" s="1"/>
  <c r="V183"/>
  <c r="V175"/>
  <c r="V170"/>
  <c r="V169"/>
  <c r="U448"/>
  <c r="U383"/>
  <c r="U382"/>
  <c r="U381"/>
  <c r="U380"/>
  <c r="U379"/>
  <c r="U378"/>
  <c r="U377"/>
  <c r="U376"/>
  <c r="U456"/>
  <c r="U470" s="1"/>
  <c r="U455"/>
  <c r="U158"/>
  <c r="T441"/>
  <c r="T439"/>
  <c r="T436"/>
  <c r="T435"/>
  <c r="T434"/>
  <c r="T440"/>
  <c r="T438"/>
  <c r="T437"/>
  <c r="T431"/>
  <c r="T430"/>
  <c r="T427"/>
  <c r="T426"/>
  <c r="T425"/>
  <c r="T424"/>
  <c r="T423"/>
  <c r="T422"/>
  <c r="T421"/>
  <c r="T420"/>
  <c r="T419"/>
  <c r="T416"/>
  <c r="T415"/>
  <c r="T414"/>
  <c r="T413"/>
  <c r="T412"/>
  <c r="T411"/>
  <c r="T410"/>
  <c r="T409"/>
  <c r="T408"/>
  <c r="G407"/>
  <c r="H395"/>
  <c r="L397"/>
  <c r="P397" s="1"/>
  <c r="L396"/>
  <c r="T405"/>
  <c r="T404"/>
  <c r="T403"/>
  <c r="T402"/>
  <c r="T401"/>
  <c r="T400"/>
  <c r="T399"/>
  <c r="T398"/>
  <c r="T397"/>
  <c r="T394"/>
  <c r="T393"/>
  <c r="T392"/>
  <c r="T391"/>
  <c r="T390"/>
  <c r="T389"/>
  <c r="T388"/>
  <c r="T387"/>
  <c r="T377"/>
  <c r="T378"/>
  <c r="T381"/>
  <c r="T383"/>
  <c r="T382"/>
  <c r="T380"/>
  <c r="T379"/>
  <c r="T376"/>
  <c r="T375"/>
  <c r="T374"/>
  <c r="T373"/>
  <c r="G373"/>
  <c r="G359"/>
  <c r="T371"/>
  <c r="T370"/>
  <c r="T368"/>
  <c r="T369"/>
  <c r="T366"/>
  <c r="T367"/>
  <c r="T365"/>
  <c r="T364"/>
  <c r="T363"/>
  <c r="T361"/>
  <c r="T360"/>
  <c r="T359"/>
  <c r="T357"/>
  <c r="T356"/>
  <c r="T355"/>
  <c r="T354"/>
  <c r="T353"/>
  <c r="T352"/>
  <c r="T351"/>
  <c r="T350"/>
  <c r="T346"/>
  <c r="T345"/>
  <c r="T344"/>
  <c r="T343"/>
  <c r="T342"/>
  <c r="T341"/>
  <c r="T340"/>
  <c r="T339"/>
  <c r="T332"/>
  <c r="T318"/>
  <c r="T317"/>
  <c r="T316"/>
  <c r="T315"/>
  <c r="T314"/>
  <c r="T313"/>
  <c r="T312"/>
  <c r="T311"/>
  <c r="T310"/>
  <c r="T309"/>
  <c r="T308"/>
  <c r="T306"/>
  <c r="T305"/>
  <c r="T304"/>
  <c r="T303"/>
  <c r="T302"/>
  <c r="T301"/>
  <c r="T300"/>
  <c r="T299"/>
  <c r="T298"/>
  <c r="T297"/>
  <c r="T295"/>
  <c r="T294"/>
  <c r="T293"/>
  <c r="T292"/>
  <c r="T291"/>
  <c r="T290"/>
  <c r="T289"/>
  <c r="T288"/>
  <c r="T285"/>
  <c r="T284"/>
  <c r="T271"/>
  <c r="T270"/>
  <c r="T269"/>
  <c r="T268"/>
  <c r="T267"/>
  <c r="T266"/>
  <c r="T265"/>
  <c r="T264"/>
  <c r="T260"/>
  <c r="T259"/>
  <c r="T258"/>
  <c r="T257"/>
  <c r="T256"/>
  <c r="T255"/>
  <c r="T254"/>
  <c r="T253"/>
  <c r="T249"/>
  <c r="T248"/>
  <c r="H184"/>
  <c r="G190"/>
  <c r="G234"/>
  <c r="T246"/>
  <c r="T245"/>
  <c r="T244"/>
  <c r="T243"/>
  <c r="T242"/>
  <c r="T241"/>
  <c r="T240"/>
  <c r="T239"/>
  <c r="T236"/>
  <c r="T235"/>
  <c r="L201"/>
  <c r="T211"/>
  <c r="T210"/>
  <c r="T209"/>
  <c r="T208"/>
  <c r="T207"/>
  <c r="T206"/>
  <c r="T205"/>
  <c r="T204"/>
  <c r="T203"/>
  <c r="T200"/>
  <c r="T199"/>
  <c r="T198"/>
  <c r="T197"/>
  <c r="T196"/>
  <c r="T195"/>
  <c r="T194"/>
  <c r="T193"/>
  <c r="T192"/>
  <c r="T191"/>
  <c r="T170"/>
  <c r="T173"/>
  <c r="T174"/>
  <c r="T175"/>
  <c r="T177"/>
  <c r="T178"/>
  <c r="T181"/>
  <c r="T182"/>
  <c r="T183"/>
  <c r="T185"/>
  <c r="T186"/>
  <c r="T187"/>
  <c r="T188"/>
  <c r="T169"/>
  <c r="T158"/>
  <c r="T157"/>
  <c r="U8"/>
  <c r="V9"/>
  <c r="W9"/>
  <c r="V11"/>
  <c r="W11"/>
  <c r="V12"/>
  <c r="W12"/>
  <c r="V13"/>
  <c r="W13"/>
  <c r="V14"/>
  <c r="W14"/>
  <c r="V17"/>
  <c r="W17"/>
  <c r="V19"/>
  <c r="W19"/>
  <c r="U20"/>
  <c r="V20"/>
  <c r="W20"/>
  <c r="V28"/>
  <c r="W28"/>
  <c r="U29"/>
  <c r="V29"/>
  <c r="W29"/>
  <c r="U30"/>
  <c r="V30"/>
  <c r="W30"/>
  <c r="V34"/>
  <c r="W34"/>
  <c r="V35"/>
  <c r="W35"/>
  <c r="V36"/>
  <c r="W36"/>
  <c r="V37"/>
  <c r="W37"/>
  <c r="V39"/>
  <c r="W39"/>
  <c r="V40"/>
  <c r="W40"/>
  <c r="V44"/>
  <c r="W44"/>
  <c r="V46"/>
  <c r="W46"/>
  <c r="V51"/>
  <c r="W51"/>
  <c r="V52"/>
  <c r="W52"/>
  <c r="V53"/>
  <c r="W53"/>
  <c r="V54"/>
  <c r="W54"/>
  <c r="V55"/>
  <c r="W55"/>
  <c r="V56"/>
  <c r="W56"/>
  <c r="V57"/>
  <c r="W57"/>
  <c r="V58"/>
  <c r="W58"/>
  <c r="U472"/>
  <c r="V472"/>
  <c r="W472"/>
  <c r="U63"/>
  <c r="V73"/>
  <c r="W73"/>
  <c r="V74"/>
  <c r="W74"/>
  <c r="V75"/>
  <c r="W75"/>
  <c r="V76"/>
  <c r="W76"/>
  <c r="V77"/>
  <c r="W77"/>
  <c r="V78"/>
  <c r="W78"/>
  <c r="V79"/>
  <c r="W79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V93"/>
  <c r="W93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4"/>
  <c r="W104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7"/>
  <c r="W117"/>
  <c r="V118"/>
  <c r="W118"/>
  <c r="V119"/>
  <c r="W119"/>
  <c r="V120"/>
  <c r="W120"/>
  <c r="V121"/>
  <c r="W121"/>
  <c r="V122"/>
  <c r="W122"/>
  <c r="V123"/>
  <c r="W123"/>
  <c r="V124"/>
  <c r="W124"/>
  <c r="V128"/>
  <c r="W128"/>
  <c r="V129"/>
  <c r="W129"/>
  <c r="V130"/>
  <c r="W130"/>
  <c r="V131"/>
  <c r="W131"/>
  <c r="V132"/>
  <c r="W132"/>
  <c r="V133"/>
  <c r="W133"/>
  <c r="V134"/>
  <c r="W134"/>
  <c r="V135"/>
  <c r="W135"/>
  <c r="U138"/>
  <c r="U150"/>
  <c r="U148"/>
  <c r="U143"/>
  <c r="U463" s="1"/>
  <c r="U462" s="1"/>
  <c r="T135"/>
  <c r="T134"/>
  <c r="T133"/>
  <c r="T132"/>
  <c r="T131"/>
  <c r="T130"/>
  <c r="T129"/>
  <c r="T128"/>
  <c r="T124"/>
  <c r="T123"/>
  <c r="T122"/>
  <c r="T121"/>
  <c r="T120"/>
  <c r="T119"/>
  <c r="T118"/>
  <c r="T117"/>
  <c r="T113"/>
  <c r="T112"/>
  <c r="T111"/>
  <c r="T110"/>
  <c r="T109"/>
  <c r="T108"/>
  <c r="T107"/>
  <c r="T106"/>
  <c r="T105"/>
  <c r="T102"/>
  <c r="T101"/>
  <c r="T100"/>
  <c r="T99"/>
  <c r="T98"/>
  <c r="T97"/>
  <c r="T96"/>
  <c r="T94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73"/>
  <c r="T63"/>
  <c r="T62"/>
  <c r="T58"/>
  <c r="T59"/>
  <c r="T56"/>
  <c r="T57"/>
  <c r="T55"/>
  <c r="T35"/>
  <c r="T36"/>
  <c r="T37"/>
  <c r="T39"/>
  <c r="T40"/>
  <c r="T41"/>
  <c r="T44"/>
  <c r="T45"/>
  <c r="T46"/>
  <c r="T51"/>
  <c r="T34"/>
  <c r="T25"/>
  <c r="T23"/>
  <c r="T33"/>
  <c r="T32"/>
  <c r="T27"/>
  <c r="T28"/>
  <c r="T29"/>
  <c r="T30"/>
  <c r="T9"/>
  <c r="T11"/>
  <c r="T12"/>
  <c r="T13"/>
  <c r="T14"/>
  <c r="T16"/>
  <c r="T17"/>
  <c r="T19"/>
  <c r="T20"/>
  <c r="T7"/>
  <c r="T8"/>
  <c r="L169" i="23"/>
  <c r="L170"/>
  <c r="L148"/>
  <c r="L147" s="1"/>
  <c r="L150"/>
  <c r="L151"/>
  <c r="L152"/>
  <c r="L154"/>
  <c r="L153" s="1"/>
  <c r="L155"/>
  <c r="L156"/>
  <c r="L133"/>
  <c r="L111"/>
  <c r="L100"/>
  <c r="L89"/>
  <c r="L69"/>
  <c r="L163" s="1"/>
  <c r="L162" s="1"/>
  <c r="L71"/>
  <c r="L72"/>
  <c r="L73"/>
  <c r="L54"/>
  <c r="L43"/>
  <c r="G54" i="22"/>
  <c r="G53"/>
  <c r="G52"/>
  <c r="G95"/>
  <c r="L172"/>
  <c r="L176"/>
  <c r="L452" s="1"/>
  <c r="L180"/>
  <c r="L453" s="1"/>
  <c r="L184"/>
  <c r="T184" s="1"/>
  <c r="K184"/>
  <c r="W184" s="1"/>
  <c r="L95"/>
  <c r="T95" s="1"/>
  <c r="L54"/>
  <c r="T54" s="1"/>
  <c r="L53"/>
  <c r="T53" s="1"/>
  <c r="T143" s="1"/>
  <c r="T142" s="1"/>
  <c r="N446"/>
  <c r="O446"/>
  <c r="L448"/>
  <c r="M448"/>
  <c r="N448"/>
  <c r="O448"/>
  <c r="T448"/>
  <c r="M451"/>
  <c r="N451"/>
  <c r="O451"/>
  <c r="M452"/>
  <c r="N452"/>
  <c r="O452"/>
  <c r="M453"/>
  <c r="N453"/>
  <c r="O453"/>
  <c r="L455"/>
  <c r="M455"/>
  <c r="N455"/>
  <c r="O455"/>
  <c r="T455"/>
  <c r="L456"/>
  <c r="M456"/>
  <c r="N456"/>
  <c r="O456"/>
  <c r="T456"/>
  <c r="L469"/>
  <c r="M469"/>
  <c r="N469"/>
  <c r="O469"/>
  <c r="T469"/>
  <c r="L470"/>
  <c r="M470"/>
  <c r="N470"/>
  <c r="O470"/>
  <c r="T470"/>
  <c r="M472"/>
  <c r="N472"/>
  <c r="O472"/>
  <c r="L442"/>
  <c r="M442"/>
  <c r="L428"/>
  <c r="L417"/>
  <c r="L406"/>
  <c r="L347"/>
  <c r="L330"/>
  <c r="L296"/>
  <c r="L261"/>
  <c r="L247"/>
  <c r="L234"/>
  <c r="L190"/>
  <c r="L140"/>
  <c r="N140"/>
  <c r="O140"/>
  <c r="L143"/>
  <c r="L142" s="1"/>
  <c r="M143"/>
  <c r="M142" s="1"/>
  <c r="N143"/>
  <c r="N142" s="1"/>
  <c r="O143"/>
  <c r="O142" s="1"/>
  <c r="V143"/>
  <c r="V142" s="1"/>
  <c r="W143"/>
  <c r="W142" s="1"/>
  <c r="N145"/>
  <c r="O145"/>
  <c r="N146"/>
  <c r="O146"/>
  <c r="N147"/>
  <c r="O147"/>
  <c r="L148"/>
  <c r="M148"/>
  <c r="N148"/>
  <c r="O148"/>
  <c r="T148"/>
  <c r="V148"/>
  <c r="W148"/>
  <c r="N150"/>
  <c r="O150"/>
  <c r="V150"/>
  <c r="W150"/>
  <c r="K137"/>
  <c r="W137" s="1"/>
  <c r="L136"/>
  <c r="L125"/>
  <c r="L114"/>
  <c r="L103"/>
  <c r="L92"/>
  <c r="L61"/>
  <c r="L60"/>
  <c r="T60" s="1"/>
  <c r="H31"/>
  <c r="X16"/>
  <c r="X7" s="1"/>
  <c r="I16"/>
  <c r="U16" s="1"/>
  <c r="T446" l="1"/>
  <c r="O466"/>
  <c r="N466"/>
  <c r="U359"/>
  <c r="T140"/>
  <c r="M358"/>
  <c r="L395"/>
  <c r="U142"/>
  <c r="L446"/>
  <c r="L460" s="1"/>
  <c r="O467"/>
  <c r="N467"/>
  <c r="O465"/>
  <c r="O464" s="1"/>
  <c r="N465"/>
  <c r="N464" s="1"/>
  <c r="N460"/>
  <c r="O460"/>
  <c r="T472"/>
  <c r="T150"/>
  <c r="L150"/>
  <c r="L472"/>
  <c r="L52"/>
  <c r="T358"/>
  <c r="L167" i="23"/>
  <c r="L166"/>
  <c r="L70"/>
  <c r="L149"/>
  <c r="L168"/>
  <c r="L165"/>
  <c r="L164" s="1"/>
  <c r="T180" i="22"/>
  <c r="T453" s="1"/>
  <c r="M460"/>
  <c r="O463"/>
  <c r="O462" s="1"/>
  <c r="N463"/>
  <c r="N462" s="1"/>
  <c r="M463"/>
  <c r="M462" s="1"/>
  <c r="V463"/>
  <c r="V462" s="1"/>
  <c r="W463"/>
  <c r="W462" s="1"/>
  <c r="O468"/>
  <c r="N468"/>
  <c r="M468"/>
  <c r="L468"/>
  <c r="O454"/>
  <c r="N454"/>
  <c r="M454"/>
  <c r="L454"/>
  <c r="M147"/>
  <c r="M467" s="1"/>
  <c r="L147"/>
  <c r="M146"/>
  <c r="M466" s="1"/>
  <c r="L146"/>
  <c r="M21"/>
  <c r="M145"/>
  <c r="L21"/>
  <c r="L6" s="1"/>
  <c r="L145"/>
  <c r="W469"/>
  <c r="W468" s="1"/>
  <c r="W454"/>
  <c r="V469"/>
  <c r="V468" s="1"/>
  <c r="V454"/>
  <c r="U469"/>
  <c r="U468" s="1"/>
  <c r="U454"/>
  <c r="T468"/>
  <c r="T454"/>
  <c r="O144"/>
  <c r="O139" s="1"/>
  <c r="N144"/>
  <c r="N139" s="1"/>
  <c r="T463"/>
  <c r="T462" s="1"/>
  <c r="O450"/>
  <c r="O445" s="1"/>
  <c r="N450"/>
  <c r="N445" s="1"/>
  <c r="M450"/>
  <c r="M445" s="1"/>
  <c r="L171"/>
  <c r="L156" s="1"/>
  <c r="L451"/>
  <c r="L450" s="1"/>
  <c r="L467"/>
  <c r="L466"/>
  <c r="L463"/>
  <c r="L462" s="1"/>
  <c r="J137"/>
  <c r="V137" s="1"/>
  <c r="T460" l="1"/>
  <c r="N459"/>
  <c r="L445"/>
  <c r="P446"/>
  <c r="P395"/>
  <c r="T395" s="1"/>
  <c r="M144"/>
  <c r="M139" s="1"/>
  <c r="M465"/>
  <c r="M464" s="1"/>
  <c r="M459" s="1"/>
  <c r="O459"/>
  <c r="T52"/>
  <c r="L31"/>
  <c r="T31" s="1"/>
  <c r="M6"/>
  <c r="L144"/>
  <c r="L139" s="1"/>
  <c r="L465"/>
  <c r="L464" s="1"/>
  <c r="L459" s="1"/>
  <c r="J159"/>
  <c r="I428"/>
  <c r="U428" s="1"/>
  <c r="K429"/>
  <c r="W429" s="1"/>
  <c r="J429"/>
  <c r="V429" s="1"/>
  <c r="P460" l="1"/>
  <c r="P459" s="1"/>
  <c r="P445"/>
  <c r="J428"/>
  <c r="V428" s="1"/>
  <c r="K428"/>
  <c r="W428" s="1"/>
  <c r="K375"/>
  <c r="W375" s="1"/>
  <c r="J375"/>
  <c r="V375" s="1"/>
  <c r="K71"/>
  <c r="J71"/>
  <c r="K472" l="1"/>
  <c r="I71"/>
  <c r="I62" l="1"/>
  <c r="U62" s="1"/>
  <c r="G62"/>
  <c r="I136"/>
  <c r="U136" s="1"/>
  <c r="J136"/>
  <c r="V136" s="1"/>
  <c r="K136"/>
  <c r="W136" s="1"/>
  <c r="G442"/>
  <c r="I442"/>
  <c r="U442" s="1"/>
  <c r="J442"/>
  <c r="V442" s="1"/>
  <c r="K442"/>
  <c r="W442" s="1"/>
  <c r="J373"/>
  <c r="V373" s="1"/>
  <c r="K373"/>
  <c r="W373" s="1"/>
  <c r="I373"/>
  <c r="U373" s="1"/>
  <c r="K372"/>
  <c r="W372" s="1"/>
  <c r="J359"/>
  <c r="V359" s="1"/>
  <c r="K359"/>
  <c r="W359" s="1"/>
  <c r="I358"/>
  <c r="U358" s="1"/>
  <c r="K358"/>
  <c r="W358" s="1"/>
  <c r="J308"/>
  <c r="V308" s="1"/>
  <c r="K308"/>
  <c r="W308" s="1"/>
  <c r="I308"/>
  <c r="U308" s="1"/>
  <c r="J184"/>
  <c r="V184" s="1"/>
  <c r="I187"/>
  <c r="U187" s="1"/>
  <c r="K182"/>
  <c r="W182" s="1"/>
  <c r="K181"/>
  <c r="W181" s="1"/>
  <c r="K180"/>
  <c r="K178"/>
  <c r="W178" s="1"/>
  <c r="K177"/>
  <c r="W177" s="1"/>
  <c r="K176"/>
  <c r="K174"/>
  <c r="W174" s="1"/>
  <c r="K173"/>
  <c r="Y182"/>
  <c r="J182"/>
  <c r="V182" s="1"/>
  <c r="I182"/>
  <c r="U182" s="1"/>
  <c r="Y181"/>
  <c r="J181"/>
  <c r="I181"/>
  <c r="U181" s="1"/>
  <c r="Y180"/>
  <c r="X180"/>
  <c r="Y178"/>
  <c r="J178"/>
  <c r="V178" s="1"/>
  <c r="I178"/>
  <c r="U178" s="1"/>
  <c r="Y177"/>
  <c r="X177"/>
  <c r="J177"/>
  <c r="V177" s="1"/>
  <c r="I177"/>
  <c r="U177" s="1"/>
  <c r="Y176"/>
  <c r="X176"/>
  <c r="J176"/>
  <c r="I176"/>
  <c r="Y174"/>
  <c r="J174"/>
  <c r="V174" s="1"/>
  <c r="I174"/>
  <c r="U174" s="1"/>
  <c r="Y173"/>
  <c r="X173"/>
  <c r="J173"/>
  <c r="V173" s="1"/>
  <c r="I173"/>
  <c r="U173" s="1"/>
  <c r="Y172"/>
  <c r="X172"/>
  <c r="J172"/>
  <c r="I172"/>
  <c r="U172" s="1"/>
  <c r="U451" s="1"/>
  <c r="X171"/>
  <c r="G180"/>
  <c r="K159"/>
  <c r="K157"/>
  <c r="W157" s="1"/>
  <c r="I163"/>
  <c r="U163" s="1"/>
  <c r="I162"/>
  <c r="U162" s="1"/>
  <c r="Y159"/>
  <c r="X159"/>
  <c r="I159"/>
  <c r="U159" s="1"/>
  <c r="Y157"/>
  <c r="X157"/>
  <c r="J157"/>
  <c r="V157" s="1"/>
  <c r="I157"/>
  <c r="U157" s="1"/>
  <c r="I34"/>
  <c r="U34" s="1"/>
  <c r="K41"/>
  <c r="W41" s="1"/>
  <c r="K69"/>
  <c r="K62" s="1"/>
  <c r="W62" s="1"/>
  <c r="Y46"/>
  <c r="X46"/>
  <c r="Y45"/>
  <c r="X45"/>
  <c r="K45"/>
  <c r="W45" s="1"/>
  <c r="J45"/>
  <c r="V45" s="1"/>
  <c r="Y41"/>
  <c r="J41"/>
  <c r="I41"/>
  <c r="U41" s="1"/>
  <c r="Y40"/>
  <c r="Y32" s="1"/>
  <c r="X40"/>
  <c r="X32" s="1"/>
  <c r="J69"/>
  <c r="I37"/>
  <c r="U37" s="1"/>
  <c r="I36"/>
  <c r="U36" s="1"/>
  <c r="I35"/>
  <c r="U35" s="1"/>
  <c r="K16"/>
  <c r="W16" s="1"/>
  <c r="K27"/>
  <c r="W27" s="1"/>
  <c r="K26"/>
  <c r="K25"/>
  <c r="W25" s="1"/>
  <c r="K24"/>
  <c r="K23"/>
  <c r="G26"/>
  <c r="G24"/>
  <c r="G22"/>
  <c r="G21" s="1"/>
  <c r="Y27"/>
  <c r="J27"/>
  <c r="V27" s="1"/>
  <c r="I27"/>
  <c r="U27" s="1"/>
  <c r="Y26"/>
  <c r="X26"/>
  <c r="J26"/>
  <c r="I26"/>
  <c r="Y25"/>
  <c r="J25"/>
  <c r="V25" s="1"/>
  <c r="I25"/>
  <c r="U25" s="1"/>
  <c r="Y24"/>
  <c r="X24"/>
  <c r="J24"/>
  <c r="I24"/>
  <c r="Y23"/>
  <c r="J23"/>
  <c r="V23" s="1"/>
  <c r="I23"/>
  <c r="U23" s="1"/>
  <c r="Y22"/>
  <c r="X22"/>
  <c r="J22"/>
  <c r="I22"/>
  <c r="U22" s="1"/>
  <c r="Y21"/>
  <c r="K7"/>
  <c r="W7" s="1"/>
  <c r="Y16"/>
  <c r="Y7" s="1"/>
  <c r="J16"/>
  <c r="I14"/>
  <c r="U14" s="1"/>
  <c r="I13"/>
  <c r="U13" s="1"/>
  <c r="I12"/>
  <c r="U12" s="1"/>
  <c r="I11"/>
  <c r="U11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V172" i="22" l="1"/>
  <c r="V451" s="1"/>
  <c r="V176"/>
  <c r="V452" s="1"/>
  <c r="W176"/>
  <c r="W452" s="1"/>
  <c r="W180"/>
  <c r="W453" s="1"/>
  <c r="V22"/>
  <c r="V145" s="1"/>
  <c r="V24"/>
  <c r="V146" s="1"/>
  <c r="V26"/>
  <c r="V147" s="1"/>
  <c r="W24"/>
  <c r="W146" s="1"/>
  <c r="W26"/>
  <c r="W147" s="1"/>
  <c r="X21"/>
  <c r="J21"/>
  <c r="V21" s="1"/>
  <c r="Y171"/>
  <c r="J307"/>
  <c r="V307" s="1"/>
  <c r="J372"/>
  <c r="V372" s="1"/>
  <c r="U446"/>
  <c r="K307"/>
  <c r="W307" s="1"/>
  <c r="J358"/>
  <c r="V358" s="1"/>
  <c r="I372"/>
  <c r="U372" s="1"/>
  <c r="U176"/>
  <c r="U452" s="1"/>
  <c r="U26"/>
  <c r="U147" s="1"/>
  <c r="U24"/>
  <c r="U146" s="1"/>
  <c r="I61"/>
  <c r="U61" s="1"/>
  <c r="I307"/>
  <c r="U307" s="1"/>
  <c r="W446"/>
  <c r="I7"/>
  <c r="U7" s="1"/>
  <c r="J7"/>
  <c r="V7" s="1"/>
  <c r="V16"/>
  <c r="K22"/>
  <c r="W22" s="1"/>
  <c r="W23"/>
  <c r="I32"/>
  <c r="U32" s="1"/>
  <c r="J32"/>
  <c r="V32" s="1"/>
  <c r="V41"/>
  <c r="I180"/>
  <c r="U180" s="1"/>
  <c r="V181"/>
  <c r="J180"/>
  <c r="V180" s="1"/>
  <c r="W173"/>
  <c r="K172"/>
  <c r="W172" s="1"/>
  <c r="I184"/>
  <c r="U184" s="1"/>
  <c r="J31"/>
  <c r="V31" s="1"/>
  <c r="I21"/>
  <c r="U21" s="1"/>
  <c r="U145"/>
  <c r="U465" s="1"/>
  <c r="I31"/>
  <c r="U31" s="1"/>
  <c r="K61"/>
  <c r="W61" s="1"/>
  <c r="J446"/>
  <c r="V446"/>
  <c r="K32"/>
  <c r="W32" s="1"/>
  <c r="W140" s="1"/>
  <c r="J62"/>
  <c r="V62" s="1"/>
  <c r="K153" i="23"/>
  <c r="J153"/>
  <c r="K149"/>
  <c r="J149"/>
  <c r="I149"/>
  <c r="K144"/>
  <c r="J144"/>
  <c r="U140" i="22" l="1"/>
  <c r="U460" s="1"/>
  <c r="I6"/>
  <c r="U6" s="1"/>
  <c r="W467"/>
  <c r="W466"/>
  <c r="V466"/>
  <c r="V140"/>
  <c r="V460" s="1"/>
  <c r="V144"/>
  <c r="V465"/>
  <c r="J6"/>
  <c r="V6" s="1"/>
  <c r="U466"/>
  <c r="U144"/>
  <c r="U139" s="1"/>
  <c r="W451"/>
  <c r="K171"/>
  <c r="W171" s="1"/>
  <c r="V453"/>
  <c r="J171"/>
  <c r="V171" s="1"/>
  <c r="U453"/>
  <c r="I171"/>
  <c r="U171" s="1"/>
  <c r="W145"/>
  <c r="W144" s="1"/>
  <c r="W139" s="1"/>
  <c r="K21"/>
  <c r="W21" s="1"/>
  <c r="K31"/>
  <c r="W31" s="1"/>
  <c r="J61"/>
  <c r="V61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H43"/>
  <c r="H32"/>
  <c r="H10"/>
  <c r="I140" i="22"/>
  <c r="J140"/>
  <c r="K140"/>
  <c r="I143"/>
  <c r="I142" s="1"/>
  <c r="J143"/>
  <c r="J142" s="1"/>
  <c r="K143"/>
  <c r="K142" s="1"/>
  <c r="I145"/>
  <c r="J145"/>
  <c r="K145"/>
  <c r="I146"/>
  <c r="J146"/>
  <c r="K146"/>
  <c r="I147"/>
  <c r="J147"/>
  <c r="K147"/>
  <c r="I148"/>
  <c r="J148"/>
  <c r="K148"/>
  <c r="I150"/>
  <c r="J150"/>
  <c r="K150"/>
  <c r="I463"/>
  <c r="I462" s="1"/>
  <c r="J463"/>
  <c r="J462" s="1"/>
  <c r="K463"/>
  <c r="K462" s="1"/>
  <c r="I472"/>
  <c r="J472"/>
  <c r="I446"/>
  <c r="J460"/>
  <c r="K446"/>
  <c r="I448"/>
  <c r="J448"/>
  <c r="K448"/>
  <c r="I451"/>
  <c r="J451"/>
  <c r="K451"/>
  <c r="I452"/>
  <c r="I466" s="1"/>
  <c r="J452"/>
  <c r="J466" s="1"/>
  <c r="K452"/>
  <c r="K466" s="1"/>
  <c r="I453"/>
  <c r="I467" s="1"/>
  <c r="J453"/>
  <c r="J467" s="1"/>
  <c r="K453"/>
  <c r="K467" s="1"/>
  <c r="I455"/>
  <c r="J455"/>
  <c r="K455"/>
  <c r="I456"/>
  <c r="I470" s="1"/>
  <c r="J456"/>
  <c r="J470" s="1"/>
  <c r="K456"/>
  <c r="K470" s="1"/>
  <c r="H442"/>
  <c r="H428"/>
  <c r="T428" s="1"/>
  <c r="H417"/>
  <c r="T417" s="1"/>
  <c r="H406"/>
  <c r="T406" s="1"/>
  <c r="H384"/>
  <c r="T384" s="1"/>
  <c r="H372"/>
  <c r="T372" s="1"/>
  <c r="H358"/>
  <c r="H347"/>
  <c r="T347" s="1"/>
  <c r="H330"/>
  <c r="T330" s="1"/>
  <c r="H307"/>
  <c r="T307" s="1"/>
  <c r="H296"/>
  <c r="T296" s="1"/>
  <c r="H283"/>
  <c r="T283" s="1"/>
  <c r="H261"/>
  <c r="T261" s="1"/>
  <c r="H247"/>
  <c r="T247" s="1"/>
  <c r="H234"/>
  <c r="T234" s="1"/>
  <c r="H201"/>
  <c r="H190"/>
  <c r="T190" s="1"/>
  <c r="H136"/>
  <c r="T136" s="1"/>
  <c r="H125"/>
  <c r="T125" s="1"/>
  <c r="H114"/>
  <c r="T114" s="1"/>
  <c r="H103"/>
  <c r="T103" s="1"/>
  <c r="H92"/>
  <c r="T92" s="1"/>
  <c r="H61"/>
  <c r="T61" s="1"/>
  <c r="V139" l="1"/>
  <c r="K6"/>
  <c r="W6" s="1"/>
  <c r="I156"/>
  <c r="U156" s="1"/>
  <c r="U467"/>
  <c r="U464" s="1"/>
  <c r="U459" s="1"/>
  <c r="U450"/>
  <c r="U445" s="1"/>
  <c r="J156"/>
  <c r="V156" s="1"/>
  <c r="V467"/>
  <c r="V464" s="1"/>
  <c r="V459" s="1"/>
  <c r="V450"/>
  <c r="V445" s="1"/>
  <c r="K156"/>
  <c r="W156" s="1"/>
  <c r="W465"/>
  <c r="W464" s="1"/>
  <c r="W450"/>
  <c r="W445" s="1"/>
  <c r="W460"/>
  <c r="K460"/>
  <c r="I460"/>
  <c r="K168" i="23"/>
  <c r="J168"/>
  <c r="K164"/>
  <c r="J164"/>
  <c r="I164"/>
  <c r="K159"/>
  <c r="J159"/>
  <c r="K70"/>
  <c r="J70"/>
  <c r="I70"/>
  <c r="K454" i="22"/>
  <c r="J454"/>
  <c r="I454"/>
  <c r="K450"/>
  <c r="K445" s="1"/>
  <c r="J450"/>
  <c r="J445" s="1"/>
  <c r="I450"/>
  <c r="I445" s="1"/>
  <c r="K469"/>
  <c r="K468" s="1"/>
  <c r="J469"/>
  <c r="J468" s="1"/>
  <c r="I469"/>
  <c r="I468" s="1"/>
  <c r="K465"/>
  <c r="K464" s="1"/>
  <c r="J465"/>
  <c r="J464" s="1"/>
  <c r="J459" s="1"/>
  <c r="I465"/>
  <c r="I464" s="1"/>
  <c r="I459" s="1"/>
  <c r="K144"/>
  <c r="K139" s="1"/>
  <c r="J144"/>
  <c r="J139" s="1"/>
  <c r="I144"/>
  <c r="K65" i="23"/>
  <c r="J65"/>
  <c r="I65"/>
  <c r="I139" i="22"/>
  <c r="Y93"/>
  <c r="Y418"/>
  <c r="X429"/>
  <c r="H26"/>
  <c r="T26" s="1"/>
  <c r="T147" s="1"/>
  <c r="T467" s="1"/>
  <c r="H24"/>
  <c r="T24" s="1"/>
  <c r="T146" s="1"/>
  <c r="H22"/>
  <c r="T22" s="1"/>
  <c r="T145" s="1"/>
  <c r="H176"/>
  <c r="H172"/>
  <c r="X446"/>
  <c r="Y446"/>
  <c r="H446"/>
  <c r="G320"/>
  <c r="G323"/>
  <c r="G322" s="1"/>
  <c r="G325"/>
  <c r="G326"/>
  <c r="G327"/>
  <c r="G328"/>
  <c r="G329"/>
  <c r="H68"/>
  <c r="H67"/>
  <c r="H66"/>
  <c r="H65"/>
  <c r="G123" i="23"/>
  <c r="G126"/>
  <c r="G125"/>
  <c r="G128"/>
  <c r="G129"/>
  <c r="G130"/>
  <c r="G127"/>
  <c r="G131"/>
  <c r="G132"/>
  <c r="Y140" i="22"/>
  <c r="X140"/>
  <c r="H147"/>
  <c r="G147" s="1"/>
  <c r="H143"/>
  <c r="H142" s="1"/>
  <c r="H145"/>
  <c r="G145" s="1"/>
  <c r="H146"/>
  <c r="G146" s="1"/>
  <c r="H148"/>
  <c r="H150"/>
  <c r="X472"/>
  <c r="Y472"/>
  <c r="H472"/>
  <c r="Y66" i="23"/>
  <c r="X66"/>
  <c r="H66"/>
  <c r="G66"/>
  <c r="Y143" i="22"/>
  <c r="Y142" s="1"/>
  <c r="Y145"/>
  <c r="Y146"/>
  <c r="Y147"/>
  <c r="X143"/>
  <c r="X142" s="1"/>
  <c r="X145"/>
  <c r="X146"/>
  <c r="X147"/>
  <c r="X148"/>
  <c r="G148" s="1"/>
  <c r="X150"/>
  <c r="G82"/>
  <c r="G85"/>
  <c r="G84" s="1"/>
  <c r="G87"/>
  <c r="G88"/>
  <c r="G89"/>
  <c r="G90"/>
  <c r="G91"/>
  <c r="G31"/>
  <c r="H83" i="23"/>
  <c r="X83"/>
  <c r="Y83"/>
  <c r="G86"/>
  <c r="G84"/>
  <c r="G85"/>
  <c r="G83"/>
  <c r="G222" i="22"/>
  <c r="G221"/>
  <c r="G220"/>
  <c r="G219"/>
  <c r="G218"/>
  <c r="G217" s="1"/>
  <c r="G216"/>
  <c r="G215" s="1"/>
  <c r="G213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4" i="22"/>
  <c r="G273"/>
  <c r="Y460"/>
  <c r="G20"/>
  <c r="G19"/>
  <c r="G29"/>
  <c r="G30"/>
  <c r="G136"/>
  <c r="Y69" i="23"/>
  <c r="H71"/>
  <c r="X71"/>
  <c r="Y71"/>
  <c r="H72"/>
  <c r="X72"/>
  <c r="Y72"/>
  <c r="Y73"/>
  <c r="G75"/>
  <c r="G27"/>
  <c r="G28"/>
  <c r="G26"/>
  <c r="G30"/>
  <c r="G82"/>
  <c r="G81"/>
  <c r="G87"/>
  <c r="G88"/>
  <c r="H150"/>
  <c r="X150"/>
  <c r="Y150"/>
  <c r="Y151"/>
  <c r="Y152"/>
  <c r="Y167"/>
  <c r="H151"/>
  <c r="X151"/>
  <c r="Y166"/>
  <c r="H152"/>
  <c r="X152"/>
  <c r="X167"/>
  <c r="H148"/>
  <c r="H163"/>
  <c r="X148"/>
  <c r="X163"/>
  <c r="Y148"/>
  <c r="G148"/>
  <c r="G147"/>
  <c r="Y154"/>
  <c r="I154" s="1"/>
  <c r="Y155"/>
  <c r="I155" s="1"/>
  <c r="I170" s="1"/>
  <c r="X155"/>
  <c r="X170"/>
  <c r="Y156"/>
  <c r="I156" s="1"/>
  <c r="X156"/>
  <c r="H156"/>
  <c r="G156"/>
  <c r="H147"/>
  <c r="X147"/>
  <c r="Y147"/>
  <c r="X165"/>
  <c r="Y170"/>
  <c r="G171"/>
  <c r="G188" i="22"/>
  <c r="X184"/>
  <c r="Y184"/>
  <c r="G185"/>
  <c r="G186"/>
  <c r="X156"/>
  <c r="Y156"/>
  <c r="G170"/>
  <c r="G169"/>
  <c r="Y451"/>
  <c r="Y465" s="1"/>
  <c r="H451"/>
  <c r="G451" s="1"/>
  <c r="H452"/>
  <c r="G452" s="1"/>
  <c r="X452"/>
  <c r="X466" s="1"/>
  <c r="Y452"/>
  <c r="Y466" s="1"/>
  <c r="H453"/>
  <c r="G453" s="1"/>
  <c r="X453"/>
  <c r="X467" s="1"/>
  <c r="Y453"/>
  <c r="Y467" s="1"/>
  <c r="X451"/>
  <c r="X465" s="1"/>
  <c r="G276"/>
  <c r="G275" s="1"/>
  <c r="G278"/>
  <c r="G279"/>
  <c r="G280"/>
  <c r="G281"/>
  <c r="G282"/>
  <c r="G227"/>
  <c r="G226" s="1"/>
  <c r="G229"/>
  <c r="G230"/>
  <c r="G231"/>
  <c r="G228" s="1"/>
  <c r="G232"/>
  <c r="G233"/>
  <c r="H456"/>
  <c r="G456" s="1"/>
  <c r="H455"/>
  <c r="G455" s="1"/>
  <c r="H454"/>
  <c r="G454" s="1"/>
  <c r="H463"/>
  <c r="X463"/>
  <c r="Y463"/>
  <c r="Y462" s="1"/>
  <c r="X455"/>
  <c r="X456"/>
  <c r="Y455"/>
  <c r="Y456"/>
  <c r="Y470"/>
  <c r="X462"/>
  <c r="G449"/>
  <c r="G448"/>
  <c r="G457"/>
  <c r="Y448"/>
  <c r="X448"/>
  <c r="H448"/>
  <c r="Y70" i="23"/>
  <c r="Y65"/>
  <c r="X70"/>
  <c r="X65"/>
  <c r="X454" i="22"/>
  <c r="H462"/>
  <c r="G152" i="23"/>
  <c r="Y165"/>
  <c r="Y164"/>
  <c r="G150"/>
  <c r="G428" i="22"/>
  <c r="G73" i="23"/>
  <c r="H166"/>
  <c r="X162"/>
  <c r="X469" i="22"/>
  <c r="H470"/>
  <c r="G470" s="1"/>
  <c r="G358"/>
  <c r="G283"/>
  <c r="Y153" i="23"/>
  <c r="G89"/>
  <c r="H70"/>
  <c r="H155"/>
  <c r="H170"/>
  <c r="G170"/>
  <c r="H162"/>
  <c r="X149"/>
  <c r="X166"/>
  <c r="G166"/>
  <c r="G151"/>
  <c r="H149"/>
  <c r="H165"/>
  <c r="G71"/>
  <c r="H167"/>
  <c r="G167"/>
  <c r="F159"/>
  <c r="G149"/>
  <c r="G395" i="22"/>
  <c r="G406"/>
  <c r="G247"/>
  <c r="G347"/>
  <c r="G372"/>
  <c r="X164" i="23"/>
  <c r="G43"/>
  <c r="G111"/>
  <c r="G125" i="22"/>
  <c r="G69" i="23"/>
  <c r="G68"/>
  <c r="H469" i="22"/>
  <c r="G469" s="1"/>
  <c r="X154" i="23"/>
  <c r="Y169"/>
  <c r="Y168"/>
  <c r="Y163"/>
  <c r="Y162"/>
  <c r="H140" i="22"/>
  <c r="G307"/>
  <c r="G54" i="23"/>
  <c r="G114" i="22"/>
  <c r="G103"/>
  <c r="G296"/>
  <c r="G201"/>
  <c r="G144"/>
  <c r="G143"/>
  <c r="G142" s="1"/>
  <c r="F139"/>
  <c r="H468"/>
  <c r="G468" s="1"/>
  <c r="H164" i="23"/>
  <c r="G165"/>
  <c r="G164"/>
  <c r="H154"/>
  <c r="X153"/>
  <c r="X144"/>
  <c r="X169"/>
  <c r="X168"/>
  <c r="G163"/>
  <c r="G162"/>
  <c r="H153"/>
  <c r="H169"/>
  <c r="G154"/>
  <c r="H168"/>
  <c r="H144"/>
  <c r="G21"/>
  <c r="G72"/>
  <c r="G70"/>
  <c r="G155"/>
  <c r="X159"/>
  <c r="G65"/>
  <c r="G133"/>
  <c r="E144"/>
  <c r="H160"/>
  <c r="X144" i="22"/>
  <c r="Y144"/>
  <c r="F459"/>
  <c r="Y454"/>
  <c r="Y469"/>
  <c r="X470"/>
  <c r="Y149" i="23"/>
  <c r="G100"/>
  <c r="Y160"/>
  <c r="Y159"/>
  <c r="Z144"/>
  <c r="Y144"/>
  <c r="Y468" i="22"/>
  <c r="X468"/>
  <c r="G160" i="23"/>
  <c r="H159"/>
  <c r="G184" i="22" l="1"/>
  <c r="G212"/>
  <c r="X460"/>
  <c r="G86"/>
  <c r="G81" s="1"/>
  <c r="H460"/>
  <c r="H144"/>
  <c r="H139" s="1"/>
  <c r="E445"/>
  <c r="H467"/>
  <c r="G467" s="1"/>
  <c r="Y450"/>
  <c r="Y445" s="1"/>
  <c r="K459"/>
  <c r="G324"/>
  <c r="H450"/>
  <c r="H445" s="1"/>
  <c r="X450"/>
  <c r="H465"/>
  <c r="G465" s="1"/>
  <c r="G463"/>
  <c r="G462" s="1"/>
  <c r="X139"/>
  <c r="G139"/>
  <c r="Y139"/>
  <c r="X445"/>
  <c r="T144"/>
  <c r="T139" s="1"/>
  <c r="Y464"/>
  <c r="Y459" s="1"/>
  <c r="H466"/>
  <c r="X464"/>
  <c r="X459" s="1"/>
  <c r="W459"/>
  <c r="H171"/>
  <c r="T172"/>
  <c r="T451" s="1"/>
  <c r="G176"/>
  <c r="T176"/>
  <c r="T452" s="1"/>
  <c r="T466" s="1"/>
  <c r="T171"/>
  <c r="H156"/>
  <c r="T156" s="1"/>
  <c r="H21"/>
  <c r="G450"/>
  <c r="I153" i="23"/>
  <c r="I169"/>
  <c r="G172" i="22"/>
  <c r="G171" s="1"/>
  <c r="G156" s="1"/>
  <c r="G6"/>
  <c r="G78" i="23"/>
  <c r="D144" s="1"/>
  <c r="G122"/>
  <c r="H65"/>
  <c r="G417" i="22"/>
  <c r="G223"/>
  <c r="G261"/>
  <c r="G277"/>
  <c r="G272" s="1"/>
  <c r="G384"/>
  <c r="G92"/>
  <c r="G61"/>
  <c r="G319"/>
  <c r="Z139" l="1"/>
  <c r="E139"/>
  <c r="G466"/>
  <c r="G464" s="1"/>
  <c r="G459" s="1"/>
  <c r="H464"/>
  <c r="H459" s="1"/>
  <c r="T465"/>
  <c r="T464" s="1"/>
  <c r="T459" s="1"/>
  <c r="T450"/>
  <c r="T445" s="1"/>
  <c r="D445"/>
  <c r="G445"/>
  <c r="D459" s="1"/>
  <c r="H6"/>
  <c r="T6" s="1"/>
  <c r="T21"/>
  <c r="I168" i="23"/>
  <c r="G169"/>
  <c r="I144"/>
  <c r="G153"/>
  <c r="G144" s="1"/>
  <c r="D159" s="1"/>
  <c r="Z459" i="22" l="1"/>
  <c r="Z445"/>
  <c r="I159" i="23"/>
  <c r="G168"/>
  <c r="G159" s="1"/>
  <c r="L32" l="1"/>
  <c r="T32" s="1"/>
  <c r="G33"/>
  <c r="G32"/>
  <c r="L10"/>
  <c r="T10" s="1"/>
  <c r="G11"/>
  <c r="F65" s="1"/>
  <c r="G10"/>
  <c r="E65"/>
  <c r="L65" l="1"/>
  <c r="L159"/>
</calcChain>
</file>

<file path=xl/sharedStrings.xml><?xml version="1.0" encoding="utf-8"?>
<sst xmlns="http://schemas.openxmlformats.org/spreadsheetml/2006/main" count="915" uniqueCount="275">
  <si>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</si>
  <si>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</si>
  <si>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</si>
  <si>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</si>
  <si>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</si>
  <si>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</si>
  <si>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</si>
  <si>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</si>
  <si>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</si>
  <si>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</si>
  <si>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</si>
  <si>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</si>
  <si>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</si>
  <si>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</si>
  <si>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</si>
  <si>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</si>
  <si>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</si>
  <si>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</si>
  <si>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</si>
  <si>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</si>
  <si>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</si>
  <si>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</si>
  <si>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</si>
  <si>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</si>
  <si>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</si>
  <si>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</si>
  <si>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</si>
  <si>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</si>
  <si>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</si>
  <si>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</si>
  <si>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</si>
  <si>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</si>
  <si>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</si>
  <si>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</si>
  <si>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</si>
  <si>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</si>
  <si>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</si>
  <si>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</si>
  <si>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</si>
  <si>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</si>
  <si>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</si>
  <si>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</si>
  <si>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</si>
  <si>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</si>
  <si>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</si>
  <si>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</si>
  <si>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</si>
  <si>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</si>
  <si>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</si>
  <si>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</si>
  <si>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</si>
  <si>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</si>
  <si>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</si>
  <si>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</si>
  <si>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</si>
  <si>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</si>
  <si>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</si>
  <si>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</si>
  <si>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</si>
  <si>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</si>
  <si>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</si>
  <si>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</si>
  <si>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</si>
  <si>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</si>
  <si>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</si>
  <si>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</si>
  <si>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</si>
  <si>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</si>
  <si>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</si>
  <si>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</si>
  <si>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</si>
  <si>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</si>
  <si>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</si>
  <si>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</si>
  <si>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</si>
  <si>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</si>
  <si>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</si>
  <si>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</si>
  <si>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</si>
  <si>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</si>
  <si>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</si>
  <si>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</si>
  <si>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</si>
  <si>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</si>
  <si>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</si>
  <si>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</si>
  <si>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</si>
  <si>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</si>
  <si>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</si>
  <si>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</si>
  <si>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</si>
  <si>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</si>
  <si>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</si>
  <si>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</si>
  <si>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</si>
  <si>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</si>
  <si>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</si>
  <si>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</si>
  <si>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</si>
  <si>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</si>
  <si>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</si>
  <si>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</si>
  <si>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</si>
  <si>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</si>
  <si>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</si>
  <si>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</si>
  <si>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</si>
  <si>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</si>
  <si>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</si>
  <si>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</si>
  <si>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</si>
  <si>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</si>
  <si>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</si>
  <si>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</si>
  <si>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</si>
  <si>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</si>
  <si>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</si>
  <si>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</si>
  <si>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</si>
  <si>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</si>
  <si>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</si>
  <si>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</si>
  <si>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</si>
  <si>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</si>
  <si>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</si>
  <si>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</si>
  <si>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</si>
  <si>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</si>
  <si>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</si>
  <si>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</si>
  <si>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</si>
  <si>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</si>
  <si>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</si>
  <si>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</si>
  <si>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</si>
  <si>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</si>
  <si>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</si>
  <si>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</si>
  <si>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</si>
  <si>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</si>
  <si>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</si>
  <si>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</si>
  <si>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</si>
  <si>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</si>
  <si>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</si>
  <si>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</si>
  <si>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</si>
  <si>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</si>
  <si>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</si>
  <si>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</si>
  <si>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</si>
  <si>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</si>
  <si>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</si>
  <si>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</si>
  <si>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</si>
  <si>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</si>
  <si>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</si>
  <si>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</si>
  <si>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</si>
  <si>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</si>
  <si>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</si>
  <si>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</si>
  <si>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</si>
  <si>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</si>
  <si>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</si>
  <si>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</si>
  <si>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</si>
  <si>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</si>
  <si>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</si>
  <si>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</si>
  <si>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</si>
  <si>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</si>
  <si>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</si>
  <si>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</si>
  <si>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</si>
  <si>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</si>
  <si>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</si>
  <si>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</si>
  <si>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</si>
  <si>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</si>
  <si>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</si>
  <si>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</si>
  <si>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</si>
  <si>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</si>
  <si>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</si>
  <si>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</si>
  <si>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</si>
  <si>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</si>
  <si>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Мичурова Е.В.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</si>
  <si>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</si>
  <si>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</si>
  <si>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</si>
  <si>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</si>
  <si>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</si>
  <si>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</si>
  <si>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</si>
  <si>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</si>
  <si>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</si>
  <si>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</si>
  <si>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</si>
  <si>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</si>
  <si>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</si>
  <si>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В разделе итого использовано (гр. 6) денежных средств на реализацию мероприятий инвестиционных проектов,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</si>
  <si>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</si>
  <si>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</si>
  <si>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</si>
  <si>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</si>
  <si>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</si>
  <si>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</si>
  <si>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</si>
  <si>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</si>
  <si>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</si>
  <si>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</si>
  <si>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</si>
  <si>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</si>
  <si>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</si>
  <si>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</si>
  <si>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</si>
  <si>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</si>
  <si>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</si>
  <si>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</si>
  <si>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</si>
  <si>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Всего за 2011-2013 годы</t>
  </si>
  <si>
    <t>РЦЦС</t>
  </si>
  <si>
    <t>ИП Белешева Н.В.</t>
  </si>
  <si>
    <t>Объект подключен к электросетям МУП "ТЭЦ-8" - 2,752 тыс. руб.</t>
  </si>
  <si>
    <t>НЦ "Балтэкспертиза"</t>
  </si>
  <si>
    <t>ЗападГазЭнерго Инвест</t>
  </si>
  <si>
    <t>Калининградпромпроект</t>
  </si>
  <si>
    <t>Мальберг АВ</t>
  </si>
  <si>
    <t>Калининградское БТИ Плюс</t>
  </si>
  <si>
    <t>ООО "Строймонтаж"</t>
  </si>
  <si>
    <t>ООО "ПИРС"</t>
  </si>
  <si>
    <t>п.2.2.4. Подключение сетей канализации к разгрузочному коллектору № 1. /ШС-9,7,6,1/</t>
  </si>
  <si>
    <t>Авторский надзор за строительством - ОАО "Калининградпромпроект" - 20,330 тыс. руб.</t>
  </si>
  <si>
    <t>2014 год</t>
  </si>
  <si>
    <t>С 01.01.2014 года договоры не заключаются.</t>
  </si>
  <si>
    <t>Генеральный подрядчик ООО "СК Монолит" - выполняет пусконаладочные работы.</t>
  </si>
  <si>
    <t>Технический надзор за строительством объекта  ООО "Стройспецназ" -  тыс. руб.</t>
  </si>
  <si>
    <t>Оформление  технических паспартов -тыс. руб.</t>
  </si>
  <si>
    <t>ООО "НЦ "Балтэкспертиза" - проверка объемов по объекту -  тыс. руб.</t>
  </si>
  <si>
    <t>Консультационные услуги по консервации объекта - тыс. руб.</t>
  </si>
  <si>
    <t>Консервация объекта  ООО "Строймонтаж" - 715,856 тыс. руб.</t>
  </si>
  <si>
    <t>ЗАО "ПИ "Ленинградский Водоканалпроект" осуществил авторский надзор за объектом строительства и корректировку ПД - тыс. руб.</t>
  </si>
  <si>
    <t>ООО "Стройспецназ" осуществил технический надзор за объектом -  тыс. руб.</t>
  </si>
  <si>
    <t>Строительно-монтажные работы - ООО "ЗападГазЭнергоИнвест" -  тыс. руб.</t>
  </si>
  <si>
    <t>ООО "Инженерная строительная компания" выполнила работы на сумму -  тыс. руб.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</si>
  <si>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</si>
  <si>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 xml:space="preserve">В отчете по реализации Инвестиционной программы МУП КХ "Водоканал" в 2014 г. по итоговым данным </t>
  </si>
  <si>
    <t xml:space="preserve"> - в том числе получено бюджетных средств в сумме 0,0 тыс. руб.,</t>
  </si>
  <si>
    <t xml:space="preserve"> - в том числе использовано бюджетных средств на сумму 0,0 тыс.руб.</t>
  </si>
  <si>
    <t>СВЕКО Интернационал</t>
  </si>
  <si>
    <t>Продолжается строительство очистных сооружений г. Калининграда, где генеральным подрядчиком выступает ОАО "Мостостройтрест №6" - 21 705 тыс. руб. за счет средств СИДА смонтировано оборудование.</t>
  </si>
  <si>
    <t>Я.Н.С. Консалт - консультационные услуги по оформлению удостоверений технической помощи - 196,0 тыс. руб.</t>
  </si>
  <si>
    <t>Разработка технических спецификаций ООО "НП "Балтэкспертиза" - 392,0 тыс. руб.</t>
  </si>
  <si>
    <t>МП "Городской центр геодезии"</t>
  </si>
  <si>
    <t xml:space="preserve">п.2.2.10. 'РП и реконструкция КНС-2 с увеличением производительности до 40 тыс.м3/сут. </t>
  </si>
  <si>
    <t>Для проектирования реконструкции данного объекта выполняются следующие работы:</t>
  </si>
  <si>
    <t>ГАУ КО "Центр проектных экспертиз" - экспертиза сметы на ПИР - 12,036 тыс. руб.</t>
  </si>
  <si>
    <t>МП "Городской центр геодезии" - разработка дежурных планов - 21,758 тыс. руб.</t>
  </si>
  <si>
    <t>за   9 месяцев  2014 года</t>
  </si>
  <si>
    <t xml:space="preserve">в разделе поступило денежных средств (гр. 5) за 9 месяцев 2014 г  в сумме 67 956,4 тыс.руб.:  </t>
  </si>
  <si>
    <t xml:space="preserve"> - в том числе собственные средства МУП КХ «Водоканал» в сумме 67 956,4 тыс. руб.</t>
  </si>
  <si>
    <t>Sweko International  - оказал услуги на  2 354,033 тыс. руб.</t>
  </si>
  <si>
    <t>ИП Нестерук А.В. - оказаны услуги по переводу с английского и на английский язык - 236,055 тыс. руб.</t>
  </si>
  <si>
    <t>Выплачены проценты Банка и Маржа Мифина  - 1 418,156 тыс. руб.</t>
  </si>
  <si>
    <t>Генеральный подрядчик ООО "Ветлан-Строй" - договор расторгнут.</t>
  </si>
  <si>
    <t>Погашены кредитные обязательства  в размере -916,204 тыс. руб.</t>
  </si>
  <si>
    <t xml:space="preserve">было погашено обязательств и оплачено подрядчикам за выполнение работ по договорам за 9 месяцев 2014г в сумме 81 927,6 т.р. </t>
  </si>
  <si>
    <t xml:space="preserve"> - в том числе собственные средства МУП КХ «Водоканал» в сумме 81 927,6 тыс. руб.</t>
  </si>
  <si>
    <t>И.о. дректора МУП КХ "Водоканал"</t>
  </si>
  <si>
    <t>Орехов А.О.</t>
  </si>
  <si>
    <t>И.о.  главного бухгалтера</t>
  </si>
  <si>
    <t>Зам. нач-ка  ОРПР</t>
  </si>
  <si>
    <t>Семичев В.В.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</si>
</sst>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2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4" fillId="0" borderId="4" xfId="0" applyFont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0" fontId="0" fillId="0" borderId="2" xfId="0" applyBorder="1" applyAlignment="1"/>
    <xf numFmtId="0" fontId="0" fillId="0" borderId="4" xfId="0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textRotation="90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0" fillId="0" borderId="2" xfId="0" applyBorder="1"/>
    <xf numFmtId="0" fontId="0" fillId="0" borderId="4" xfId="0" applyBorder="1"/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8" xfId="0" applyBorder="1"/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0" fontId="47" fillId="0" borderId="4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4" fontId="13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38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topLeftCell="A2" zoomScaleNormal="100" zoomScaleSheetLayoutView="120" workbookViewId="0">
      <selection activeCell="A5" sqref="A5:A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48" hidden="1" customWidth="1"/>
    <col min="6" max="6" width="6.28515625" style="48" hidden="1" customWidth="1"/>
    <col min="7" max="7" width="12.42578125" style="23" customWidth="1"/>
    <col min="8" max="8" width="11" style="23" hidden="1" customWidth="1"/>
    <col min="9" max="9" width="12.42578125" style="23" hidden="1" customWidth="1"/>
    <col min="10" max="15" width="11" style="23" hidden="1" customWidth="1"/>
    <col min="16" max="19" width="11" style="23" customWidth="1"/>
    <col min="20" max="23" width="11" style="23" hidden="1" customWidth="1"/>
    <col min="24" max="24" width="11.7109375" style="23" hidden="1" customWidth="1"/>
    <col min="25" max="25" width="10.85546875" style="23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" customHeight="1">
      <c r="A2" s="369" t="s">
        <v>146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</row>
    <row r="3" spans="1:27" ht="32.25" customHeight="1">
      <c r="A3" s="370" t="s">
        <v>193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1:27" ht="24" customHeight="1">
      <c r="A4" s="369" t="s">
        <v>260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72"/>
      <c r="R4" s="372"/>
      <c r="S4" s="372"/>
      <c r="T4" s="372"/>
      <c r="U4" s="372"/>
      <c r="V4" s="372"/>
      <c r="W4" s="372"/>
      <c r="X4" s="372"/>
      <c r="Y4" s="372"/>
      <c r="Z4" s="68" t="s">
        <v>128</v>
      </c>
    </row>
    <row r="5" spans="1:27" ht="13.5" customHeight="1">
      <c r="A5" s="307" t="s">
        <v>210</v>
      </c>
      <c r="B5" s="307" t="s">
        <v>11</v>
      </c>
      <c r="C5" s="307" t="s">
        <v>32</v>
      </c>
      <c r="D5" s="307" t="s">
        <v>33</v>
      </c>
      <c r="E5" s="307" t="s">
        <v>34</v>
      </c>
      <c r="F5" s="307" t="s">
        <v>42</v>
      </c>
      <c r="G5" s="295" t="s">
        <v>145</v>
      </c>
      <c r="H5" s="290" t="s">
        <v>142</v>
      </c>
      <c r="I5" s="291"/>
      <c r="J5" s="291"/>
      <c r="K5" s="292"/>
      <c r="L5" s="290" t="s">
        <v>194</v>
      </c>
      <c r="M5" s="291"/>
      <c r="N5" s="291"/>
      <c r="O5" s="292"/>
      <c r="P5" s="290" t="s">
        <v>235</v>
      </c>
      <c r="Q5" s="291"/>
      <c r="R5" s="291"/>
      <c r="S5" s="292"/>
      <c r="T5" s="290" t="s">
        <v>222</v>
      </c>
      <c r="U5" s="291"/>
      <c r="V5" s="291"/>
      <c r="W5" s="292"/>
      <c r="X5" s="71"/>
      <c r="Y5" s="71"/>
      <c r="Z5" s="307" t="s">
        <v>22</v>
      </c>
    </row>
    <row r="6" spans="1:27" ht="66" customHeight="1">
      <c r="A6" s="314"/>
      <c r="B6" s="314"/>
      <c r="C6" s="314"/>
      <c r="D6" s="314"/>
      <c r="E6" s="286"/>
      <c r="F6" s="286"/>
      <c r="G6" s="289"/>
      <c r="H6" s="73" t="s">
        <v>143</v>
      </c>
      <c r="I6" s="73" t="s">
        <v>144</v>
      </c>
      <c r="J6" s="73" t="s">
        <v>192</v>
      </c>
      <c r="K6" s="73" t="s">
        <v>178</v>
      </c>
      <c r="L6" s="73" t="s">
        <v>143</v>
      </c>
      <c r="M6" s="73" t="s">
        <v>144</v>
      </c>
      <c r="N6" s="73" t="s">
        <v>192</v>
      </c>
      <c r="O6" s="73" t="s">
        <v>178</v>
      </c>
      <c r="P6" s="73" t="s">
        <v>143</v>
      </c>
      <c r="Q6" s="73" t="s">
        <v>144</v>
      </c>
      <c r="R6" s="73" t="s">
        <v>192</v>
      </c>
      <c r="S6" s="73" t="s">
        <v>178</v>
      </c>
      <c r="T6" s="73" t="s">
        <v>143</v>
      </c>
      <c r="U6" s="73" t="s">
        <v>144</v>
      </c>
      <c r="V6" s="73" t="s">
        <v>192</v>
      </c>
      <c r="W6" s="73" t="s">
        <v>178</v>
      </c>
      <c r="X6" s="9">
        <v>2012</v>
      </c>
      <c r="Y6" s="9">
        <v>2013</v>
      </c>
      <c r="Z6" s="314"/>
    </row>
    <row r="7" spans="1:2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v>9</v>
      </c>
      <c r="Y7" s="10">
        <v>10</v>
      </c>
      <c r="Z7" s="10">
        <v>11</v>
      </c>
    </row>
    <row r="8" spans="1:27" ht="37.5" customHeight="1">
      <c r="A8" s="36">
        <v>1</v>
      </c>
      <c r="B8" s="296" t="s">
        <v>58</v>
      </c>
      <c r="C8" s="297"/>
      <c r="D8" s="297"/>
      <c r="E8" s="297"/>
      <c r="F8" s="297"/>
      <c r="G8" s="297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298"/>
      <c r="S8" s="298"/>
      <c r="T8" s="298"/>
      <c r="U8" s="298"/>
      <c r="V8" s="298"/>
      <c r="W8" s="298"/>
      <c r="X8" s="298"/>
      <c r="Y8" s="298"/>
      <c r="Z8" s="299"/>
    </row>
    <row r="9" spans="1:27" ht="14.25">
      <c r="A9" s="75">
        <v>1.1000000000000001</v>
      </c>
      <c r="B9" s="74" t="s">
        <v>59</v>
      </c>
      <c r="C9" s="10"/>
      <c r="D9" s="10"/>
      <c r="E9" s="40"/>
      <c r="F9" s="4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37"/>
    </row>
    <row r="10" spans="1:27" ht="15" customHeight="1">
      <c r="A10" s="364" t="s">
        <v>60</v>
      </c>
      <c r="B10" s="12" t="s">
        <v>121</v>
      </c>
      <c r="C10" s="308" t="s">
        <v>41</v>
      </c>
      <c r="D10" s="302" t="s">
        <v>46</v>
      </c>
      <c r="E10" s="300">
        <v>30</v>
      </c>
      <c r="F10" s="300" t="s">
        <v>16</v>
      </c>
      <c r="G10" s="24">
        <f>G11+G13+G15+G19+G20</f>
        <v>44250.600000000006</v>
      </c>
      <c r="H10" s="24">
        <f>H11+H13+H15+H19+H20</f>
        <v>0</v>
      </c>
      <c r="I10" s="25"/>
      <c r="J10" s="25"/>
      <c r="K10" s="25"/>
      <c r="L10" s="24">
        <f>L11+L13+L15+L19+L20</f>
        <v>14750.2</v>
      </c>
      <c r="M10" s="25"/>
      <c r="N10" s="25"/>
      <c r="O10" s="25"/>
      <c r="P10" s="24">
        <f>P11+P13+P15+P19+P20</f>
        <v>0</v>
      </c>
      <c r="Q10" s="25"/>
      <c r="R10" s="25"/>
      <c r="S10" s="25"/>
      <c r="T10" s="25">
        <f>L10+H10</f>
        <v>14750.2</v>
      </c>
      <c r="U10" s="25"/>
      <c r="V10" s="25"/>
      <c r="W10" s="25"/>
      <c r="X10" s="25"/>
      <c r="Y10" s="25"/>
      <c r="Z10" s="304"/>
    </row>
    <row r="11" spans="1:27" ht="15" customHeight="1">
      <c r="A11" s="316"/>
      <c r="B11" s="21" t="s">
        <v>122</v>
      </c>
      <c r="C11" s="309"/>
      <c r="D11" s="303"/>
      <c r="E11" s="301"/>
      <c r="F11" s="301"/>
      <c r="G11" s="285">
        <f>SUM(H11:Y11)</f>
        <v>44250.600000000006</v>
      </c>
      <c r="H11" s="285"/>
      <c r="I11" s="26"/>
      <c r="J11" s="26"/>
      <c r="K11" s="26"/>
      <c r="L11" s="285">
        <v>14750.2</v>
      </c>
      <c r="M11" s="137"/>
      <c r="N11" s="137"/>
      <c r="O11" s="137"/>
      <c r="P11" s="285">
        <v>0</v>
      </c>
      <c r="Q11" s="231"/>
      <c r="R11" s="231"/>
      <c r="S11" s="231"/>
      <c r="T11" s="285">
        <f t="shared" ref="T11:T64" si="0">L11+H11</f>
        <v>14750.2</v>
      </c>
      <c r="U11" s="137"/>
      <c r="V11" s="137"/>
      <c r="W11" s="137"/>
      <c r="X11" s="285">
        <v>14750.2</v>
      </c>
      <c r="Y11" s="285"/>
      <c r="Z11" s="305"/>
      <c r="AA11" s="2"/>
    </row>
    <row r="12" spans="1:27" ht="15" customHeight="1">
      <c r="A12" s="316"/>
      <c r="B12" s="62" t="s">
        <v>103</v>
      </c>
      <c r="C12" s="309"/>
      <c r="D12" s="303"/>
      <c r="E12" s="301"/>
      <c r="F12" s="301"/>
      <c r="G12" s="286"/>
      <c r="H12" s="286"/>
      <c r="I12" s="35"/>
      <c r="J12" s="35"/>
      <c r="K12" s="35"/>
      <c r="L12" s="286"/>
      <c r="M12" s="136"/>
      <c r="N12" s="136"/>
      <c r="O12" s="136"/>
      <c r="P12" s="286"/>
      <c r="Q12" s="232"/>
      <c r="R12" s="232"/>
      <c r="S12" s="232"/>
      <c r="T12" s="286">
        <f t="shared" si="0"/>
        <v>0</v>
      </c>
      <c r="U12" s="136"/>
      <c r="V12" s="136"/>
      <c r="W12" s="136"/>
      <c r="X12" s="286"/>
      <c r="Y12" s="286"/>
      <c r="Z12" s="305"/>
      <c r="AA12" s="2"/>
    </row>
    <row r="13" spans="1:27" ht="15" customHeight="1">
      <c r="A13" s="316"/>
      <c r="B13" s="22" t="s">
        <v>27</v>
      </c>
      <c r="C13" s="309"/>
      <c r="D13" s="303"/>
      <c r="E13" s="301"/>
      <c r="F13" s="301"/>
      <c r="G13" s="19">
        <v>0</v>
      </c>
      <c r="H13" s="35"/>
      <c r="I13" s="35"/>
      <c r="J13" s="35"/>
      <c r="K13" s="35"/>
      <c r="L13" s="144">
        <v>0</v>
      </c>
      <c r="M13" s="136"/>
      <c r="N13" s="136"/>
      <c r="O13" s="136"/>
      <c r="P13" s="240">
        <v>0</v>
      </c>
      <c r="Q13" s="232"/>
      <c r="R13" s="232"/>
      <c r="S13" s="232"/>
      <c r="T13" s="25">
        <f t="shared" si="0"/>
        <v>0</v>
      </c>
      <c r="U13" s="136"/>
      <c r="V13" s="136"/>
      <c r="W13" s="136"/>
      <c r="X13" s="35"/>
      <c r="Y13" s="35"/>
      <c r="Z13" s="305"/>
      <c r="AA13" s="2"/>
    </row>
    <row r="14" spans="1:27" ht="15" customHeight="1">
      <c r="A14" s="316"/>
      <c r="B14" s="39" t="s">
        <v>37</v>
      </c>
      <c r="C14" s="309"/>
      <c r="D14" s="303"/>
      <c r="E14" s="301"/>
      <c r="F14" s="301"/>
      <c r="G14" s="46">
        <v>0</v>
      </c>
      <c r="H14" s="35"/>
      <c r="I14" s="35"/>
      <c r="J14" s="35"/>
      <c r="K14" s="35"/>
      <c r="L14" s="145">
        <v>0</v>
      </c>
      <c r="M14" s="136"/>
      <c r="N14" s="136"/>
      <c r="O14" s="136"/>
      <c r="P14" s="239">
        <v>0</v>
      </c>
      <c r="Q14" s="232"/>
      <c r="R14" s="232"/>
      <c r="S14" s="232"/>
      <c r="T14" s="25">
        <f t="shared" si="0"/>
        <v>0</v>
      </c>
      <c r="U14" s="136"/>
      <c r="V14" s="136"/>
      <c r="W14" s="136"/>
      <c r="X14" s="35"/>
      <c r="Y14" s="35"/>
      <c r="Z14" s="305"/>
      <c r="AA14" s="2"/>
    </row>
    <row r="15" spans="1:27" ht="15" customHeight="1">
      <c r="A15" s="316"/>
      <c r="B15" s="22" t="s">
        <v>28</v>
      </c>
      <c r="C15" s="309"/>
      <c r="D15" s="303"/>
      <c r="E15" s="301"/>
      <c r="F15" s="301"/>
      <c r="G15" s="19">
        <v>0</v>
      </c>
      <c r="H15" s="35"/>
      <c r="I15" s="35"/>
      <c r="J15" s="35"/>
      <c r="K15" s="35"/>
      <c r="L15" s="144">
        <v>0</v>
      </c>
      <c r="M15" s="136"/>
      <c r="N15" s="136"/>
      <c r="O15" s="136"/>
      <c r="P15" s="240">
        <v>0</v>
      </c>
      <c r="Q15" s="232"/>
      <c r="R15" s="232"/>
      <c r="S15" s="232"/>
      <c r="T15" s="25">
        <f t="shared" si="0"/>
        <v>0</v>
      </c>
      <c r="U15" s="136"/>
      <c r="V15" s="136"/>
      <c r="W15" s="136"/>
      <c r="X15" s="35"/>
      <c r="Y15" s="35"/>
      <c r="Z15" s="305"/>
      <c r="AA15" s="2"/>
    </row>
    <row r="16" spans="1:27">
      <c r="A16" s="316"/>
      <c r="B16" s="39" t="s">
        <v>29</v>
      </c>
      <c r="C16" s="309"/>
      <c r="D16" s="303"/>
      <c r="E16" s="301"/>
      <c r="F16" s="301"/>
      <c r="G16" s="46">
        <v>0</v>
      </c>
      <c r="H16" s="19"/>
      <c r="I16" s="19"/>
      <c r="J16" s="19"/>
      <c r="K16" s="19"/>
      <c r="L16" s="145">
        <v>0</v>
      </c>
      <c r="M16" s="144"/>
      <c r="N16" s="144"/>
      <c r="O16" s="144"/>
      <c r="P16" s="239">
        <v>0</v>
      </c>
      <c r="Q16" s="240"/>
      <c r="R16" s="240"/>
      <c r="S16" s="240"/>
      <c r="T16" s="25">
        <f t="shared" si="0"/>
        <v>0</v>
      </c>
      <c r="U16" s="144"/>
      <c r="V16" s="144"/>
      <c r="W16" s="144"/>
      <c r="X16" s="19"/>
      <c r="Y16" s="19"/>
      <c r="Z16" s="305"/>
    </row>
    <row r="17" spans="1:27">
      <c r="A17" s="316"/>
      <c r="B17" s="39" t="s">
        <v>30</v>
      </c>
      <c r="C17" s="309"/>
      <c r="D17" s="303"/>
      <c r="E17" s="301"/>
      <c r="F17" s="301"/>
      <c r="G17" s="46">
        <v>0</v>
      </c>
      <c r="H17" s="19"/>
      <c r="I17" s="19"/>
      <c r="J17" s="19"/>
      <c r="K17" s="19"/>
      <c r="L17" s="145">
        <v>0</v>
      </c>
      <c r="M17" s="144"/>
      <c r="N17" s="144"/>
      <c r="O17" s="144"/>
      <c r="P17" s="239">
        <v>0</v>
      </c>
      <c r="Q17" s="240"/>
      <c r="R17" s="240"/>
      <c r="S17" s="240"/>
      <c r="T17" s="25">
        <f t="shared" si="0"/>
        <v>0</v>
      </c>
      <c r="U17" s="144"/>
      <c r="V17" s="144"/>
      <c r="W17" s="144"/>
      <c r="X17" s="19"/>
      <c r="Y17" s="19"/>
      <c r="Z17" s="305"/>
    </row>
    <row r="18" spans="1:27">
      <c r="A18" s="316"/>
      <c r="B18" s="39" t="s">
        <v>31</v>
      </c>
      <c r="C18" s="309"/>
      <c r="D18" s="303"/>
      <c r="E18" s="301"/>
      <c r="F18" s="301"/>
      <c r="G18" s="46">
        <v>0</v>
      </c>
      <c r="H18" s="46"/>
      <c r="I18" s="46"/>
      <c r="J18" s="46"/>
      <c r="K18" s="46"/>
      <c r="L18" s="145">
        <v>0</v>
      </c>
      <c r="M18" s="145"/>
      <c r="N18" s="145"/>
      <c r="O18" s="145"/>
      <c r="P18" s="239">
        <v>0</v>
      </c>
      <c r="Q18" s="239"/>
      <c r="R18" s="239"/>
      <c r="S18" s="239"/>
      <c r="T18" s="25">
        <f t="shared" si="0"/>
        <v>0</v>
      </c>
      <c r="U18" s="145"/>
      <c r="V18" s="145"/>
      <c r="W18" s="145"/>
      <c r="X18" s="19"/>
      <c r="Y18" s="19"/>
      <c r="Z18" s="305"/>
    </row>
    <row r="19" spans="1:27">
      <c r="A19" s="316"/>
      <c r="B19" s="22" t="s">
        <v>35</v>
      </c>
      <c r="C19" s="310"/>
      <c r="D19" s="301"/>
      <c r="E19" s="301"/>
      <c r="F19" s="301"/>
      <c r="G19" s="19">
        <v>0</v>
      </c>
      <c r="H19" s="19"/>
      <c r="I19" s="19"/>
      <c r="J19" s="19"/>
      <c r="K19" s="19"/>
      <c r="L19" s="144">
        <v>0</v>
      </c>
      <c r="M19" s="144"/>
      <c r="N19" s="144"/>
      <c r="O19" s="144"/>
      <c r="P19" s="240">
        <v>0</v>
      </c>
      <c r="Q19" s="240"/>
      <c r="R19" s="240"/>
      <c r="S19" s="240"/>
      <c r="T19" s="25">
        <f t="shared" si="0"/>
        <v>0</v>
      </c>
      <c r="U19" s="144"/>
      <c r="V19" s="144"/>
      <c r="W19" s="144"/>
      <c r="X19" s="19"/>
      <c r="Y19" s="19"/>
      <c r="Z19" s="305"/>
    </row>
    <row r="20" spans="1:27">
      <c r="A20" s="317"/>
      <c r="B20" s="22" t="s">
        <v>36</v>
      </c>
      <c r="C20" s="311"/>
      <c r="D20" s="289"/>
      <c r="E20" s="289"/>
      <c r="F20" s="289"/>
      <c r="G20" s="19">
        <v>0</v>
      </c>
      <c r="H20" s="19"/>
      <c r="I20" s="19"/>
      <c r="J20" s="19"/>
      <c r="K20" s="19"/>
      <c r="L20" s="144">
        <v>0</v>
      </c>
      <c r="M20" s="144"/>
      <c r="N20" s="144"/>
      <c r="O20" s="144"/>
      <c r="P20" s="240">
        <v>0</v>
      </c>
      <c r="Q20" s="240"/>
      <c r="R20" s="240"/>
      <c r="S20" s="240"/>
      <c r="T20" s="25">
        <f t="shared" si="0"/>
        <v>0</v>
      </c>
      <c r="U20" s="144"/>
      <c r="V20" s="144"/>
      <c r="W20" s="144"/>
      <c r="X20" s="19"/>
      <c r="Y20" s="19"/>
      <c r="Z20" s="306"/>
    </row>
    <row r="21" spans="1:27" ht="36.75" hidden="1" customHeight="1">
      <c r="A21" s="364" t="s">
        <v>61</v>
      </c>
      <c r="B21" s="12"/>
      <c r="C21" s="312" t="s">
        <v>41</v>
      </c>
      <c r="D21" s="302" t="s">
        <v>45</v>
      </c>
      <c r="E21" s="307">
        <v>60</v>
      </c>
      <c r="F21" s="307" t="s">
        <v>16</v>
      </c>
      <c r="G21" s="24">
        <f>G22+G24+G26+G30+G31</f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>
        <f t="shared" si="0"/>
        <v>0</v>
      </c>
      <c r="U21" s="31"/>
      <c r="V21" s="31"/>
      <c r="W21" s="31"/>
      <c r="X21" s="31"/>
      <c r="Y21" s="31"/>
      <c r="Z21" s="304"/>
      <c r="AA21" s="2"/>
    </row>
    <row r="22" spans="1:27" ht="15.75" hidden="1" customHeight="1">
      <c r="A22" s="316"/>
      <c r="B22" s="21" t="s">
        <v>122</v>
      </c>
      <c r="C22" s="309"/>
      <c r="D22" s="301"/>
      <c r="E22" s="313"/>
      <c r="F22" s="313"/>
      <c r="G22" s="285">
        <f>SUM(H22:Y23)</f>
        <v>0</v>
      </c>
      <c r="H22" s="363"/>
      <c r="I22" s="72"/>
      <c r="J22" s="72"/>
      <c r="K22" s="72"/>
      <c r="L22" s="141"/>
      <c r="M22" s="141"/>
      <c r="N22" s="141"/>
      <c r="O22" s="141"/>
      <c r="P22" s="235"/>
      <c r="Q22" s="235"/>
      <c r="R22" s="235"/>
      <c r="S22" s="235"/>
      <c r="T22" s="25">
        <f t="shared" si="0"/>
        <v>0</v>
      </c>
      <c r="U22" s="141"/>
      <c r="V22" s="141"/>
      <c r="W22" s="141"/>
      <c r="X22" s="285"/>
      <c r="Y22" s="285"/>
      <c r="Z22" s="305"/>
    </row>
    <row r="23" spans="1:27" ht="15.75" hidden="1" customHeight="1">
      <c r="A23" s="316"/>
      <c r="B23" s="62" t="s">
        <v>103</v>
      </c>
      <c r="C23" s="309"/>
      <c r="D23" s="301"/>
      <c r="E23" s="313"/>
      <c r="F23" s="313"/>
      <c r="G23" s="286"/>
      <c r="H23" s="286"/>
      <c r="I23" s="35"/>
      <c r="J23" s="35"/>
      <c r="K23" s="35"/>
      <c r="L23" s="136"/>
      <c r="M23" s="136"/>
      <c r="N23" s="136"/>
      <c r="O23" s="136"/>
      <c r="P23" s="232"/>
      <c r="Q23" s="232"/>
      <c r="R23" s="232"/>
      <c r="S23" s="232"/>
      <c r="T23" s="25">
        <f t="shared" si="0"/>
        <v>0</v>
      </c>
      <c r="U23" s="136"/>
      <c r="V23" s="136"/>
      <c r="W23" s="136"/>
      <c r="X23" s="286"/>
      <c r="Y23" s="286"/>
      <c r="Z23" s="305"/>
    </row>
    <row r="24" spans="1:27" ht="15.75" hidden="1" customHeight="1">
      <c r="A24" s="316"/>
      <c r="B24" s="22" t="s">
        <v>27</v>
      </c>
      <c r="C24" s="309"/>
      <c r="D24" s="301"/>
      <c r="E24" s="313"/>
      <c r="F24" s="313"/>
      <c r="G24" s="19">
        <f>SUM(G25)</f>
        <v>0</v>
      </c>
      <c r="H24" s="35"/>
      <c r="I24" s="35"/>
      <c r="J24" s="35"/>
      <c r="K24" s="35"/>
      <c r="L24" s="136"/>
      <c r="M24" s="136"/>
      <c r="N24" s="136"/>
      <c r="O24" s="136"/>
      <c r="P24" s="232"/>
      <c r="Q24" s="232"/>
      <c r="R24" s="232"/>
      <c r="S24" s="232"/>
      <c r="T24" s="25">
        <f t="shared" si="0"/>
        <v>0</v>
      </c>
      <c r="U24" s="136"/>
      <c r="V24" s="136"/>
      <c r="W24" s="136"/>
      <c r="X24" s="35"/>
      <c r="Y24" s="35"/>
      <c r="Z24" s="305"/>
    </row>
    <row r="25" spans="1:27" ht="12.75" hidden="1" customHeight="1">
      <c r="A25" s="316"/>
      <c r="B25" s="42" t="s">
        <v>37</v>
      </c>
      <c r="C25" s="309"/>
      <c r="D25" s="301"/>
      <c r="E25" s="313"/>
      <c r="F25" s="313"/>
      <c r="G25" s="46">
        <f>H25+X25+Y25</f>
        <v>0</v>
      </c>
      <c r="H25" s="46"/>
      <c r="I25" s="46"/>
      <c r="J25" s="46"/>
      <c r="K25" s="46"/>
      <c r="L25" s="145"/>
      <c r="M25" s="145"/>
      <c r="N25" s="145"/>
      <c r="O25" s="145"/>
      <c r="P25" s="239"/>
      <c r="Q25" s="239"/>
      <c r="R25" s="239"/>
      <c r="S25" s="239"/>
      <c r="T25" s="25">
        <f t="shared" si="0"/>
        <v>0</v>
      </c>
      <c r="U25" s="145"/>
      <c r="V25" s="145"/>
      <c r="W25" s="145"/>
      <c r="X25" s="46"/>
      <c r="Y25" s="50"/>
      <c r="Z25" s="305"/>
    </row>
    <row r="26" spans="1:27" ht="12.75" hidden="1" customHeight="1">
      <c r="A26" s="316"/>
      <c r="B26" s="22" t="s">
        <v>28</v>
      </c>
      <c r="C26" s="309"/>
      <c r="D26" s="301"/>
      <c r="E26" s="313"/>
      <c r="F26" s="313"/>
      <c r="G26" s="19">
        <f>SUM(G27:G29)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25">
        <f t="shared" si="0"/>
        <v>0</v>
      </c>
      <c r="U26" s="60"/>
      <c r="V26" s="60"/>
      <c r="W26" s="60"/>
      <c r="X26" s="60"/>
      <c r="Y26" s="35"/>
      <c r="Z26" s="305"/>
    </row>
    <row r="27" spans="1:27" hidden="1">
      <c r="A27" s="316"/>
      <c r="B27" s="39" t="s">
        <v>29</v>
      </c>
      <c r="C27" s="309"/>
      <c r="D27" s="301"/>
      <c r="E27" s="313"/>
      <c r="F27" s="313"/>
      <c r="G27" s="46">
        <f>SUM(H27:Y27)</f>
        <v>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25">
        <f t="shared" si="0"/>
        <v>0</v>
      </c>
      <c r="U27" s="50"/>
      <c r="V27" s="50"/>
      <c r="W27" s="50"/>
      <c r="X27" s="50"/>
      <c r="Y27" s="45"/>
      <c r="Z27" s="305"/>
    </row>
    <row r="28" spans="1:27" hidden="1">
      <c r="A28" s="316"/>
      <c r="B28" s="39" t="s">
        <v>30</v>
      </c>
      <c r="C28" s="309"/>
      <c r="D28" s="301"/>
      <c r="E28" s="313"/>
      <c r="F28" s="313"/>
      <c r="G28" s="46">
        <f>SUM(H28:Y28)</f>
        <v>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25">
        <f t="shared" si="0"/>
        <v>0</v>
      </c>
      <c r="U28" s="50"/>
      <c r="V28" s="50"/>
      <c r="W28" s="50"/>
      <c r="X28" s="50"/>
      <c r="Y28" s="45"/>
      <c r="Z28" s="305"/>
    </row>
    <row r="29" spans="1:27" hidden="1">
      <c r="A29" s="316"/>
      <c r="B29" s="39" t="s">
        <v>31</v>
      </c>
      <c r="C29" s="309"/>
      <c r="D29" s="301"/>
      <c r="E29" s="313"/>
      <c r="F29" s="313"/>
      <c r="G29" s="46">
        <f>SUM(H29:Y29)</f>
        <v>0</v>
      </c>
      <c r="H29" s="46"/>
      <c r="I29" s="46"/>
      <c r="J29" s="46"/>
      <c r="K29" s="46"/>
      <c r="L29" s="145"/>
      <c r="M29" s="145"/>
      <c r="N29" s="145"/>
      <c r="O29" s="145"/>
      <c r="P29" s="239"/>
      <c r="Q29" s="239"/>
      <c r="R29" s="239"/>
      <c r="S29" s="239"/>
      <c r="T29" s="25">
        <f t="shared" si="0"/>
        <v>0</v>
      </c>
      <c r="U29" s="145"/>
      <c r="V29" s="145"/>
      <c r="W29" s="145"/>
      <c r="X29" s="46"/>
      <c r="Y29" s="45"/>
      <c r="Z29" s="305"/>
    </row>
    <row r="30" spans="1:27" hidden="1">
      <c r="A30" s="316"/>
      <c r="B30" s="22" t="s">
        <v>35</v>
      </c>
      <c r="C30" s="310"/>
      <c r="D30" s="301"/>
      <c r="E30" s="301"/>
      <c r="F30" s="301"/>
      <c r="G30" s="19">
        <f>SUM(H30:Y30)</f>
        <v>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25">
        <f t="shared" si="0"/>
        <v>0</v>
      </c>
      <c r="U30" s="58"/>
      <c r="V30" s="58"/>
      <c r="W30" s="58"/>
      <c r="X30" s="59"/>
      <c r="Y30" s="24"/>
      <c r="Z30" s="305"/>
    </row>
    <row r="31" spans="1:27" hidden="1">
      <c r="A31" s="317"/>
      <c r="B31" s="21" t="s">
        <v>114</v>
      </c>
      <c r="C31" s="311"/>
      <c r="D31" s="289"/>
      <c r="E31" s="289"/>
      <c r="F31" s="289"/>
      <c r="G31" s="19">
        <f>SUM(H31:Y31)</f>
        <v>0</v>
      </c>
      <c r="H31" s="46"/>
      <c r="I31" s="46"/>
      <c r="J31" s="46"/>
      <c r="K31" s="46"/>
      <c r="L31" s="145"/>
      <c r="M31" s="145"/>
      <c r="N31" s="145"/>
      <c r="O31" s="145"/>
      <c r="P31" s="239"/>
      <c r="Q31" s="239"/>
      <c r="R31" s="239"/>
      <c r="S31" s="239"/>
      <c r="T31" s="25">
        <f t="shared" si="0"/>
        <v>0</v>
      </c>
      <c r="U31" s="145"/>
      <c r="V31" s="145"/>
      <c r="W31" s="145"/>
      <c r="X31" s="46"/>
      <c r="Y31" s="24"/>
      <c r="Z31" s="306"/>
    </row>
    <row r="32" spans="1:27" ht="25.5" customHeight="1">
      <c r="A32" s="315" t="s">
        <v>61</v>
      </c>
      <c r="B32" s="18" t="s">
        <v>78</v>
      </c>
      <c r="C32" s="312" t="s">
        <v>41</v>
      </c>
      <c r="D32" s="302" t="s">
        <v>45</v>
      </c>
      <c r="E32" s="295">
        <v>0.21</v>
      </c>
      <c r="F32" s="307" t="s">
        <v>16</v>
      </c>
      <c r="G32" s="24">
        <f>G33+G35+G37+G41+G42</f>
        <v>102014.40000000001</v>
      </c>
      <c r="H32" s="24">
        <f>H33+H35+H37+H41+H42</f>
        <v>0</v>
      </c>
      <c r="I32" s="19"/>
      <c r="J32" s="19"/>
      <c r="K32" s="19"/>
      <c r="L32" s="24">
        <f>L33+L35+L37+L41+L42</f>
        <v>34004.800000000003</v>
      </c>
      <c r="M32" s="144"/>
      <c r="N32" s="144"/>
      <c r="O32" s="144"/>
      <c r="P32" s="24">
        <f>P33+P35+P37+P41+P42</f>
        <v>0</v>
      </c>
      <c r="Q32" s="240"/>
      <c r="R32" s="240"/>
      <c r="S32" s="240"/>
      <c r="T32" s="25">
        <f t="shared" si="0"/>
        <v>34004.800000000003</v>
      </c>
      <c r="U32" s="144"/>
      <c r="V32" s="144"/>
      <c r="W32" s="144"/>
      <c r="X32" s="19"/>
      <c r="Y32" s="19"/>
      <c r="Z32" s="368"/>
    </row>
    <row r="33" spans="1:26">
      <c r="A33" s="316"/>
      <c r="B33" s="21" t="s">
        <v>123</v>
      </c>
      <c r="C33" s="309"/>
      <c r="D33" s="361"/>
      <c r="E33" s="318"/>
      <c r="F33" s="313"/>
      <c r="G33" s="285">
        <f>SUM(H33:Y33)</f>
        <v>102014.40000000001</v>
      </c>
      <c r="H33" s="285"/>
      <c r="I33" s="26"/>
      <c r="J33" s="26"/>
      <c r="K33" s="26"/>
      <c r="L33" s="285">
        <v>34004.800000000003</v>
      </c>
      <c r="M33" s="137"/>
      <c r="N33" s="137"/>
      <c r="O33" s="137"/>
      <c r="P33" s="285">
        <v>0</v>
      </c>
      <c r="Q33" s="231"/>
      <c r="R33" s="231"/>
      <c r="S33" s="231"/>
      <c r="T33" s="25">
        <f t="shared" si="0"/>
        <v>34004.800000000003</v>
      </c>
      <c r="U33" s="137"/>
      <c r="V33" s="137"/>
      <c r="W33" s="137"/>
      <c r="X33" s="285">
        <v>34004.800000000003</v>
      </c>
      <c r="Y33" s="285"/>
      <c r="Z33" s="348"/>
    </row>
    <row r="34" spans="1:26">
      <c r="A34" s="316"/>
      <c r="B34" s="62" t="s">
        <v>103</v>
      </c>
      <c r="C34" s="309"/>
      <c r="D34" s="361"/>
      <c r="E34" s="318"/>
      <c r="F34" s="313"/>
      <c r="G34" s="287"/>
      <c r="H34" s="287"/>
      <c r="I34" s="27"/>
      <c r="J34" s="27"/>
      <c r="K34" s="27"/>
      <c r="L34" s="287"/>
      <c r="M34" s="138"/>
      <c r="N34" s="138"/>
      <c r="O34" s="138"/>
      <c r="P34" s="287"/>
      <c r="Q34" s="233"/>
      <c r="R34" s="233"/>
      <c r="S34" s="233"/>
      <c r="T34" s="25">
        <f t="shared" si="0"/>
        <v>0</v>
      </c>
      <c r="U34" s="138"/>
      <c r="V34" s="138"/>
      <c r="W34" s="138"/>
      <c r="X34" s="287"/>
      <c r="Y34" s="287"/>
      <c r="Z34" s="348"/>
    </row>
    <row r="35" spans="1:26">
      <c r="A35" s="316"/>
      <c r="B35" s="22" t="s">
        <v>27</v>
      </c>
      <c r="C35" s="309"/>
      <c r="D35" s="361"/>
      <c r="E35" s="318"/>
      <c r="F35" s="313"/>
      <c r="G35" s="144">
        <v>0</v>
      </c>
      <c r="H35" s="19"/>
      <c r="I35" s="19"/>
      <c r="J35" s="19"/>
      <c r="K35" s="19"/>
      <c r="L35" s="144">
        <v>0</v>
      </c>
      <c r="M35" s="144"/>
      <c r="N35" s="144"/>
      <c r="O35" s="144"/>
      <c r="P35" s="240">
        <v>0</v>
      </c>
      <c r="Q35" s="240"/>
      <c r="R35" s="240"/>
      <c r="S35" s="240"/>
      <c r="T35" s="25">
        <f t="shared" si="0"/>
        <v>0</v>
      </c>
      <c r="U35" s="144"/>
      <c r="V35" s="144"/>
      <c r="W35" s="144"/>
      <c r="X35" s="19"/>
      <c r="Y35" s="19"/>
      <c r="Z35" s="348"/>
    </row>
    <row r="36" spans="1:26">
      <c r="A36" s="316"/>
      <c r="B36" s="39" t="s">
        <v>37</v>
      </c>
      <c r="C36" s="309"/>
      <c r="D36" s="361"/>
      <c r="E36" s="318"/>
      <c r="F36" s="313"/>
      <c r="G36" s="145">
        <v>0</v>
      </c>
      <c r="H36" s="19"/>
      <c r="I36" s="26"/>
      <c r="J36" s="26"/>
      <c r="K36" s="26"/>
      <c r="L36" s="145">
        <v>0</v>
      </c>
      <c r="M36" s="137"/>
      <c r="N36" s="137"/>
      <c r="O36" s="137"/>
      <c r="P36" s="239">
        <v>0</v>
      </c>
      <c r="Q36" s="231"/>
      <c r="R36" s="231"/>
      <c r="S36" s="231"/>
      <c r="T36" s="25">
        <f t="shared" si="0"/>
        <v>0</v>
      </c>
      <c r="U36" s="137"/>
      <c r="V36" s="137"/>
      <c r="W36" s="137"/>
      <c r="X36" s="26"/>
      <c r="Y36" s="52"/>
      <c r="Z36" s="348"/>
    </row>
    <row r="37" spans="1:26">
      <c r="A37" s="316"/>
      <c r="B37" s="22" t="s">
        <v>28</v>
      </c>
      <c r="C37" s="309"/>
      <c r="D37" s="361"/>
      <c r="E37" s="318"/>
      <c r="F37" s="313"/>
      <c r="G37" s="144">
        <v>0</v>
      </c>
      <c r="H37" s="19"/>
      <c r="I37" s="26"/>
      <c r="J37" s="26"/>
      <c r="K37" s="26"/>
      <c r="L37" s="144">
        <v>0</v>
      </c>
      <c r="M37" s="137"/>
      <c r="N37" s="137"/>
      <c r="O37" s="137"/>
      <c r="P37" s="240">
        <v>0</v>
      </c>
      <c r="Q37" s="231"/>
      <c r="R37" s="231"/>
      <c r="S37" s="231"/>
      <c r="T37" s="25">
        <f t="shared" si="0"/>
        <v>0</v>
      </c>
      <c r="U37" s="137"/>
      <c r="V37" s="137"/>
      <c r="W37" s="137"/>
      <c r="X37" s="26"/>
      <c r="Y37" s="26"/>
      <c r="Z37" s="348"/>
    </row>
    <row r="38" spans="1:26">
      <c r="A38" s="316"/>
      <c r="B38" s="39" t="s">
        <v>29</v>
      </c>
      <c r="C38" s="309"/>
      <c r="D38" s="361"/>
      <c r="E38" s="318"/>
      <c r="F38" s="313"/>
      <c r="G38" s="145">
        <v>0</v>
      </c>
      <c r="H38" s="19"/>
      <c r="I38" s="19"/>
      <c r="J38" s="19"/>
      <c r="K38" s="19"/>
      <c r="L38" s="145">
        <v>0</v>
      </c>
      <c r="M38" s="144"/>
      <c r="N38" s="144"/>
      <c r="O38" s="144"/>
      <c r="P38" s="239">
        <v>0</v>
      </c>
      <c r="Q38" s="240"/>
      <c r="R38" s="240"/>
      <c r="S38" s="240"/>
      <c r="T38" s="25">
        <f t="shared" si="0"/>
        <v>0</v>
      </c>
      <c r="U38" s="144"/>
      <c r="V38" s="144"/>
      <c r="W38" s="144"/>
      <c r="X38" s="19"/>
      <c r="Y38" s="19"/>
      <c r="Z38" s="348"/>
    </row>
    <row r="39" spans="1:26">
      <c r="A39" s="316"/>
      <c r="B39" s="39" t="s">
        <v>30</v>
      </c>
      <c r="C39" s="309"/>
      <c r="D39" s="361"/>
      <c r="E39" s="318"/>
      <c r="F39" s="313"/>
      <c r="G39" s="145">
        <v>0</v>
      </c>
      <c r="H39" s="19"/>
      <c r="I39" s="19"/>
      <c r="J39" s="19"/>
      <c r="K39" s="19"/>
      <c r="L39" s="145">
        <v>0</v>
      </c>
      <c r="M39" s="144"/>
      <c r="N39" s="144"/>
      <c r="O39" s="144"/>
      <c r="P39" s="239">
        <v>0</v>
      </c>
      <c r="Q39" s="240"/>
      <c r="R39" s="240"/>
      <c r="S39" s="240"/>
      <c r="T39" s="25">
        <f t="shared" si="0"/>
        <v>0</v>
      </c>
      <c r="U39" s="144"/>
      <c r="V39" s="144"/>
      <c r="W39" s="144"/>
      <c r="X39" s="19"/>
      <c r="Y39" s="19"/>
      <c r="Z39" s="348"/>
    </row>
    <row r="40" spans="1:26">
      <c r="A40" s="316"/>
      <c r="B40" s="39" t="s">
        <v>31</v>
      </c>
      <c r="C40" s="309"/>
      <c r="D40" s="361"/>
      <c r="E40" s="318"/>
      <c r="F40" s="313"/>
      <c r="G40" s="145">
        <v>0</v>
      </c>
      <c r="H40" s="19"/>
      <c r="I40" s="19"/>
      <c r="J40" s="19"/>
      <c r="K40" s="19"/>
      <c r="L40" s="145">
        <v>0</v>
      </c>
      <c r="M40" s="144"/>
      <c r="N40" s="144"/>
      <c r="O40" s="144"/>
      <c r="P40" s="239">
        <v>0</v>
      </c>
      <c r="Q40" s="240"/>
      <c r="R40" s="240"/>
      <c r="S40" s="240"/>
      <c r="T40" s="25">
        <f t="shared" si="0"/>
        <v>0</v>
      </c>
      <c r="U40" s="144"/>
      <c r="V40" s="144"/>
      <c r="W40" s="144"/>
      <c r="X40" s="19"/>
      <c r="Y40" s="19"/>
      <c r="Z40" s="348"/>
    </row>
    <row r="41" spans="1:26">
      <c r="A41" s="316"/>
      <c r="B41" s="22" t="s">
        <v>35</v>
      </c>
      <c r="C41" s="310"/>
      <c r="D41" s="361"/>
      <c r="E41" s="318"/>
      <c r="F41" s="313"/>
      <c r="G41" s="144">
        <v>0</v>
      </c>
      <c r="H41" s="19"/>
      <c r="I41" s="19"/>
      <c r="J41" s="19"/>
      <c r="K41" s="19"/>
      <c r="L41" s="144">
        <v>0</v>
      </c>
      <c r="M41" s="144"/>
      <c r="N41" s="144"/>
      <c r="O41" s="144"/>
      <c r="P41" s="240">
        <v>0</v>
      </c>
      <c r="Q41" s="240"/>
      <c r="R41" s="240"/>
      <c r="S41" s="240"/>
      <c r="T41" s="25">
        <f t="shared" si="0"/>
        <v>0</v>
      </c>
      <c r="U41" s="144"/>
      <c r="V41" s="144"/>
      <c r="W41" s="144"/>
      <c r="X41" s="19"/>
      <c r="Y41" s="19"/>
      <c r="Z41" s="348"/>
    </row>
    <row r="42" spans="1:26">
      <c r="A42" s="317"/>
      <c r="B42" s="22" t="s">
        <v>36</v>
      </c>
      <c r="C42" s="311"/>
      <c r="D42" s="362"/>
      <c r="E42" s="319"/>
      <c r="F42" s="314"/>
      <c r="G42" s="144">
        <v>0</v>
      </c>
      <c r="H42" s="19"/>
      <c r="I42" s="19"/>
      <c r="J42" s="19"/>
      <c r="K42" s="19"/>
      <c r="L42" s="144">
        <v>0</v>
      </c>
      <c r="M42" s="144"/>
      <c r="N42" s="144"/>
      <c r="O42" s="144"/>
      <c r="P42" s="240">
        <v>0</v>
      </c>
      <c r="Q42" s="240"/>
      <c r="R42" s="240"/>
      <c r="S42" s="240"/>
      <c r="T42" s="25">
        <f t="shared" si="0"/>
        <v>0</v>
      </c>
      <c r="U42" s="144"/>
      <c r="V42" s="144"/>
      <c r="W42" s="144"/>
      <c r="X42" s="19"/>
      <c r="Y42" s="19"/>
      <c r="Z42" s="349"/>
    </row>
    <row r="43" spans="1:26" ht="27.75" customHeight="1">
      <c r="A43" s="315" t="s">
        <v>88</v>
      </c>
      <c r="B43" s="18" t="s">
        <v>80</v>
      </c>
      <c r="C43" s="312" t="s">
        <v>41</v>
      </c>
      <c r="D43" s="302" t="s">
        <v>45</v>
      </c>
      <c r="E43" s="295">
        <v>1.1000000000000001</v>
      </c>
      <c r="F43" s="307" t="s">
        <v>17</v>
      </c>
      <c r="G43" s="24">
        <f>G44+G46+G48+G52+G53</f>
        <v>65995.3</v>
      </c>
      <c r="H43" s="24">
        <f>H44+H46+H48+H52+H53</f>
        <v>0</v>
      </c>
      <c r="I43" s="19"/>
      <c r="J43" s="19"/>
      <c r="K43" s="19"/>
      <c r="L43" s="24">
        <f>L44+L46+L48+L52+L53</f>
        <v>5499.1</v>
      </c>
      <c r="M43" s="144"/>
      <c r="N43" s="144"/>
      <c r="O43" s="144"/>
      <c r="P43" s="24">
        <f>P44+P46+P48+P52+P53</f>
        <v>0</v>
      </c>
      <c r="Q43" s="240"/>
      <c r="R43" s="240"/>
      <c r="S43" s="240"/>
      <c r="T43" s="25">
        <f t="shared" si="0"/>
        <v>5499.1</v>
      </c>
      <c r="U43" s="144"/>
      <c r="V43" s="144"/>
      <c r="W43" s="144"/>
      <c r="X43" s="19"/>
      <c r="Y43" s="19"/>
      <c r="Z43" s="368"/>
    </row>
    <row r="44" spans="1:26">
      <c r="A44" s="316"/>
      <c r="B44" s="21" t="s">
        <v>123</v>
      </c>
      <c r="C44" s="309"/>
      <c r="D44" s="355"/>
      <c r="E44" s="318"/>
      <c r="F44" s="313"/>
      <c r="G44" s="285">
        <f>SUM(H44:Y44)</f>
        <v>65995.3</v>
      </c>
      <c r="H44" s="285"/>
      <c r="I44" s="26"/>
      <c r="J44" s="26"/>
      <c r="K44" s="26"/>
      <c r="L44" s="285">
        <v>5499.1</v>
      </c>
      <c r="M44" s="137"/>
      <c r="N44" s="137"/>
      <c r="O44" s="137"/>
      <c r="P44" s="285">
        <v>0</v>
      </c>
      <c r="Q44" s="231"/>
      <c r="R44" s="231"/>
      <c r="S44" s="231"/>
      <c r="T44" s="285">
        <f>L44+H44+P44</f>
        <v>5499.1</v>
      </c>
      <c r="U44" s="137"/>
      <c r="V44" s="137"/>
      <c r="W44" s="137"/>
      <c r="X44" s="285">
        <v>5499.1</v>
      </c>
      <c r="Y44" s="285">
        <v>49498</v>
      </c>
      <c r="Z44" s="348"/>
    </row>
    <row r="45" spans="1:26" ht="14.25" customHeight="1">
      <c r="A45" s="316"/>
      <c r="B45" s="62" t="s">
        <v>103</v>
      </c>
      <c r="C45" s="309"/>
      <c r="D45" s="355"/>
      <c r="E45" s="318"/>
      <c r="F45" s="313"/>
      <c r="G45" s="287"/>
      <c r="H45" s="287"/>
      <c r="I45" s="27"/>
      <c r="J45" s="27"/>
      <c r="K45" s="27"/>
      <c r="L45" s="287"/>
      <c r="M45" s="138"/>
      <c r="N45" s="138"/>
      <c r="O45" s="138"/>
      <c r="P45" s="287"/>
      <c r="Q45" s="233"/>
      <c r="R45" s="233"/>
      <c r="S45" s="233"/>
      <c r="T45" s="287">
        <f t="shared" si="0"/>
        <v>0</v>
      </c>
      <c r="U45" s="138"/>
      <c r="V45" s="138"/>
      <c r="W45" s="138"/>
      <c r="X45" s="287"/>
      <c r="Y45" s="287"/>
      <c r="Z45" s="348"/>
    </row>
    <row r="46" spans="1:26" ht="15" customHeight="1">
      <c r="A46" s="316"/>
      <c r="B46" s="22" t="s">
        <v>27</v>
      </c>
      <c r="C46" s="309"/>
      <c r="D46" s="355"/>
      <c r="E46" s="318"/>
      <c r="F46" s="313"/>
      <c r="G46" s="144">
        <v>0</v>
      </c>
      <c r="H46" s="19"/>
      <c r="I46" s="19"/>
      <c r="J46" s="19"/>
      <c r="K46" s="19"/>
      <c r="L46" s="144">
        <v>0</v>
      </c>
      <c r="M46" s="144"/>
      <c r="N46" s="144"/>
      <c r="O46" s="144"/>
      <c r="P46" s="240">
        <v>0</v>
      </c>
      <c r="Q46" s="240"/>
      <c r="R46" s="240"/>
      <c r="S46" s="240"/>
      <c r="T46" s="25">
        <f t="shared" si="0"/>
        <v>0</v>
      </c>
      <c r="U46" s="144"/>
      <c r="V46" s="144"/>
      <c r="W46" s="144"/>
      <c r="X46" s="19"/>
      <c r="Y46" s="19"/>
      <c r="Z46" s="348"/>
    </row>
    <row r="47" spans="1:26">
      <c r="A47" s="316"/>
      <c r="B47" s="39" t="s">
        <v>37</v>
      </c>
      <c r="C47" s="309"/>
      <c r="D47" s="355"/>
      <c r="E47" s="318"/>
      <c r="F47" s="313"/>
      <c r="G47" s="145">
        <v>0</v>
      </c>
      <c r="H47" s="19"/>
      <c r="I47" s="26"/>
      <c r="J47" s="26"/>
      <c r="K47" s="26"/>
      <c r="L47" s="145">
        <v>0</v>
      </c>
      <c r="M47" s="137"/>
      <c r="N47" s="137"/>
      <c r="O47" s="137"/>
      <c r="P47" s="239">
        <v>0</v>
      </c>
      <c r="Q47" s="231"/>
      <c r="R47" s="231"/>
      <c r="S47" s="231"/>
      <c r="T47" s="25">
        <f t="shared" si="0"/>
        <v>0</v>
      </c>
      <c r="U47" s="137"/>
      <c r="V47" s="137"/>
      <c r="W47" s="137"/>
      <c r="X47" s="26"/>
      <c r="Y47" s="52"/>
      <c r="Z47" s="348"/>
    </row>
    <row r="48" spans="1:26" ht="16.5" customHeight="1">
      <c r="A48" s="316"/>
      <c r="B48" s="22" t="s">
        <v>28</v>
      </c>
      <c r="C48" s="309"/>
      <c r="D48" s="355"/>
      <c r="E48" s="318"/>
      <c r="F48" s="313"/>
      <c r="G48" s="144">
        <v>0</v>
      </c>
      <c r="H48" s="19"/>
      <c r="I48" s="26"/>
      <c r="J48" s="26"/>
      <c r="K48" s="26"/>
      <c r="L48" s="144">
        <v>0</v>
      </c>
      <c r="M48" s="137"/>
      <c r="N48" s="137"/>
      <c r="O48" s="137"/>
      <c r="P48" s="240">
        <v>0</v>
      </c>
      <c r="Q48" s="231"/>
      <c r="R48" s="231"/>
      <c r="S48" s="231"/>
      <c r="T48" s="25">
        <f t="shared" si="0"/>
        <v>0</v>
      </c>
      <c r="U48" s="137"/>
      <c r="V48" s="137"/>
      <c r="W48" s="137"/>
      <c r="X48" s="26"/>
      <c r="Y48" s="26"/>
      <c r="Z48" s="348"/>
    </row>
    <row r="49" spans="1:26" ht="9.75" customHeight="1">
      <c r="A49" s="316"/>
      <c r="B49" s="39" t="s">
        <v>29</v>
      </c>
      <c r="C49" s="309"/>
      <c r="D49" s="355"/>
      <c r="E49" s="318"/>
      <c r="F49" s="313"/>
      <c r="G49" s="145">
        <v>0</v>
      </c>
      <c r="H49" s="19"/>
      <c r="I49" s="19"/>
      <c r="J49" s="19"/>
      <c r="K49" s="19"/>
      <c r="L49" s="145">
        <v>0</v>
      </c>
      <c r="M49" s="144"/>
      <c r="N49" s="144"/>
      <c r="O49" s="144"/>
      <c r="P49" s="239">
        <v>0</v>
      </c>
      <c r="Q49" s="240"/>
      <c r="R49" s="240"/>
      <c r="S49" s="240"/>
      <c r="T49" s="25">
        <f t="shared" si="0"/>
        <v>0</v>
      </c>
      <c r="U49" s="144"/>
      <c r="V49" s="144"/>
      <c r="W49" s="144"/>
      <c r="X49" s="19"/>
      <c r="Y49" s="19"/>
      <c r="Z49" s="348"/>
    </row>
    <row r="50" spans="1:26">
      <c r="A50" s="316"/>
      <c r="B50" s="39" t="s">
        <v>30</v>
      </c>
      <c r="C50" s="309"/>
      <c r="D50" s="355"/>
      <c r="E50" s="318"/>
      <c r="F50" s="313"/>
      <c r="G50" s="145">
        <v>0</v>
      </c>
      <c r="H50" s="19"/>
      <c r="I50" s="19"/>
      <c r="J50" s="19"/>
      <c r="K50" s="19"/>
      <c r="L50" s="145">
        <v>0</v>
      </c>
      <c r="M50" s="144"/>
      <c r="N50" s="144"/>
      <c r="O50" s="144"/>
      <c r="P50" s="239">
        <v>0</v>
      </c>
      <c r="Q50" s="240"/>
      <c r="R50" s="240"/>
      <c r="S50" s="240"/>
      <c r="T50" s="25">
        <f t="shared" si="0"/>
        <v>0</v>
      </c>
      <c r="U50" s="144"/>
      <c r="V50" s="144"/>
      <c r="W50" s="144"/>
      <c r="X50" s="19"/>
      <c r="Y50" s="19"/>
      <c r="Z50" s="348"/>
    </row>
    <row r="51" spans="1:26">
      <c r="A51" s="316"/>
      <c r="B51" s="39" t="s">
        <v>31</v>
      </c>
      <c r="C51" s="309"/>
      <c r="D51" s="355"/>
      <c r="E51" s="318"/>
      <c r="F51" s="313"/>
      <c r="G51" s="145">
        <v>0</v>
      </c>
      <c r="H51" s="19"/>
      <c r="I51" s="19"/>
      <c r="J51" s="19"/>
      <c r="K51" s="19"/>
      <c r="L51" s="145">
        <v>0</v>
      </c>
      <c r="M51" s="144"/>
      <c r="N51" s="144"/>
      <c r="O51" s="144"/>
      <c r="P51" s="239">
        <v>0</v>
      </c>
      <c r="Q51" s="240"/>
      <c r="R51" s="240"/>
      <c r="S51" s="240"/>
      <c r="T51" s="25">
        <f t="shared" si="0"/>
        <v>0</v>
      </c>
      <c r="U51" s="144"/>
      <c r="V51" s="144"/>
      <c r="W51" s="144"/>
      <c r="X51" s="19"/>
      <c r="Y51" s="19"/>
      <c r="Z51" s="348"/>
    </row>
    <row r="52" spans="1:26">
      <c r="A52" s="316"/>
      <c r="B52" s="22" t="s">
        <v>35</v>
      </c>
      <c r="C52" s="310"/>
      <c r="D52" s="355"/>
      <c r="E52" s="318"/>
      <c r="F52" s="313"/>
      <c r="G52" s="144">
        <v>0</v>
      </c>
      <c r="H52" s="19"/>
      <c r="I52" s="19"/>
      <c r="J52" s="19"/>
      <c r="K52" s="19"/>
      <c r="L52" s="144">
        <v>0</v>
      </c>
      <c r="M52" s="144"/>
      <c r="N52" s="144"/>
      <c r="O52" s="144"/>
      <c r="P52" s="240">
        <v>0</v>
      </c>
      <c r="Q52" s="240"/>
      <c r="R52" s="240"/>
      <c r="S52" s="240"/>
      <c r="T52" s="25">
        <f t="shared" si="0"/>
        <v>0</v>
      </c>
      <c r="U52" s="144"/>
      <c r="V52" s="144"/>
      <c r="W52" s="144"/>
      <c r="X52" s="19"/>
      <c r="Y52" s="19"/>
      <c r="Z52" s="348"/>
    </row>
    <row r="53" spans="1:26">
      <c r="A53" s="317"/>
      <c r="B53" s="22" t="s">
        <v>36</v>
      </c>
      <c r="C53" s="311"/>
      <c r="D53" s="356"/>
      <c r="E53" s="319"/>
      <c r="F53" s="314"/>
      <c r="G53" s="144">
        <v>0</v>
      </c>
      <c r="H53" s="19"/>
      <c r="I53" s="19"/>
      <c r="J53" s="19"/>
      <c r="K53" s="19"/>
      <c r="L53" s="144">
        <v>0</v>
      </c>
      <c r="M53" s="144"/>
      <c r="N53" s="144"/>
      <c r="O53" s="144"/>
      <c r="P53" s="240">
        <v>0</v>
      </c>
      <c r="Q53" s="240"/>
      <c r="R53" s="240"/>
      <c r="S53" s="240"/>
      <c r="T53" s="25">
        <f t="shared" si="0"/>
        <v>0</v>
      </c>
      <c r="U53" s="144"/>
      <c r="V53" s="144"/>
      <c r="W53" s="144"/>
      <c r="X53" s="19"/>
      <c r="Y53" s="19"/>
      <c r="Z53" s="349"/>
    </row>
    <row r="54" spans="1:26" ht="25.5">
      <c r="A54" s="61"/>
      <c r="B54" s="15" t="s">
        <v>90</v>
      </c>
      <c r="C54" s="312" t="s">
        <v>41</v>
      </c>
      <c r="D54" s="302" t="s">
        <v>45</v>
      </c>
      <c r="E54" s="295"/>
      <c r="F54" s="307" t="s">
        <v>17</v>
      </c>
      <c r="G54" s="24">
        <f>G55+G57+G59+G63+G64</f>
        <v>14972.85</v>
      </c>
      <c r="H54" s="24">
        <f>H55+H57+H59+H63+H64</f>
        <v>0</v>
      </c>
      <c r="I54" s="19"/>
      <c r="J54" s="19"/>
      <c r="K54" s="19"/>
      <c r="L54" s="24">
        <f>L55+L57+L59+L63+L64</f>
        <v>1151.8</v>
      </c>
      <c r="M54" s="144"/>
      <c r="N54" s="144"/>
      <c r="O54" s="144"/>
      <c r="P54" s="24">
        <f>P55+P57+P59+P63+P64</f>
        <v>0</v>
      </c>
      <c r="Q54" s="240"/>
      <c r="R54" s="240"/>
      <c r="S54" s="240"/>
      <c r="T54" s="25">
        <f>L54+H54+P54</f>
        <v>1151.8</v>
      </c>
      <c r="U54" s="144"/>
      <c r="V54" s="144"/>
      <c r="W54" s="144"/>
      <c r="X54" s="19"/>
      <c r="Y54" s="19"/>
      <c r="Z54" s="368"/>
    </row>
    <row r="55" spans="1:26">
      <c r="A55" s="61"/>
      <c r="B55" s="21" t="s">
        <v>123</v>
      </c>
      <c r="C55" s="309"/>
      <c r="D55" s="361"/>
      <c r="E55" s="318"/>
      <c r="F55" s="313"/>
      <c r="G55" s="285">
        <f>SUM(H55:Y55)</f>
        <v>14972.85</v>
      </c>
      <c r="H55" s="285"/>
      <c r="I55" s="26"/>
      <c r="J55" s="26"/>
      <c r="K55" s="26"/>
      <c r="L55" s="285">
        <v>1151.8</v>
      </c>
      <c r="M55" s="137"/>
      <c r="N55" s="137"/>
      <c r="O55" s="137"/>
      <c r="P55" s="285">
        <v>0</v>
      </c>
      <c r="Q55" s="231"/>
      <c r="R55" s="231"/>
      <c r="S55" s="231"/>
      <c r="T55" s="285">
        <f>L55+H55+P55</f>
        <v>1151.8</v>
      </c>
      <c r="U55" s="137"/>
      <c r="V55" s="137"/>
      <c r="W55" s="137"/>
      <c r="X55" s="285">
        <v>1151.75</v>
      </c>
      <c r="Y55" s="285">
        <v>11517.5</v>
      </c>
      <c r="Z55" s="348"/>
    </row>
    <row r="56" spans="1:26">
      <c r="A56" s="61"/>
      <c r="B56" s="62" t="s">
        <v>103</v>
      </c>
      <c r="C56" s="309"/>
      <c r="D56" s="361"/>
      <c r="E56" s="318"/>
      <c r="F56" s="313"/>
      <c r="G56" s="287"/>
      <c r="H56" s="287"/>
      <c r="I56" s="27"/>
      <c r="J56" s="27"/>
      <c r="K56" s="27"/>
      <c r="L56" s="287"/>
      <c r="M56" s="138"/>
      <c r="N56" s="138"/>
      <c r="O56" s="138"/>
      <c r="P56" s="287"/>
      <c r="Q56" s="233"/>
      <c r="R56" s="233"/>
      <c r="S56" s="233"/>
      <c r="T56" s="287">
        <f t="shared" si="0"/>
        <v>0</v>
      </c>
      <c r="U56" s="138"/>
      <c r="V56" s="138"/>
      <c r="W56" s="138"/>
      <c r="X56" s="287"/>
      <c r="Y56" s="287"/>
      <c r="Z56" s="348"/>
    </row>
    <row r="57" spans="1:26">
      <c r="A57" s="61"/>
      <c r="B57" s="22" t="s">
        <v>27</v>
      </c>
      <c r="C57" s="309"/>
      <c r="D57" s="361"/>
      <c r="E57" s="318"/>
      <c r="F57" s="313"/>
      <c r="G57" s="144">
        <v>0</v>
      </c>
      <c r="H57" s="19"/>
      <c r="I57" s="19"/>
      <c r="J57" s="19"/>
      <c r="K57" s="19"/>
      <c r="L57" s="144">
        <v>0</v>
      </c>
      <c r="M57" s="144"/>
      <c r="N57" s="144"/>
      <c r="O57" s="144"/>
      <c r="P57" s="240">
        <v>0</v>
      </c>
      <c r="Q57" s="240"/>
      <c r="R57" s="240"/>
      <c r="S57" s="240"/>
      <c r="T57" s="25">
        <f t="shared" si="0"/>
        <v>0</v>
      </c>
      <c r="U57" s="144"/>
      <c r="V57" s="144"/>
      <c r="W57" s="144"/>
      <c r="X57" s="19"/>
      <c r="Y57" s="19"/>
      <c r="Z57" s="348"/>
    </row>
    <row r="58" spans="1:26">
      <c r="A58" s="67" t="s">
        <v>89</v>
      </c>
      <c r="B58" s="39" t="s">
        <v>37</v>
      </c>
      <c r="C58" s="309"/>
      <c r="D58" s="361"/>
      <c r="E58" s="318"/>
      <c r="F58" s="313"/>
      <c r="G58" s="145">
        <v>0</v>
      </c>
      <c r="H58" s="19"/>
      <c r="I58" s="26"/>
      <c r="J58" s="26"/>
      <c r="K58" s="26"/>
      <c r="L58" s="145">
        <v>0</v>
      </c>
      <c r="M58" s="137"/>
      <c r="N58" s="137"/>
      <c r="O58" s="137"/>
      <c r="P58" s="239">
        <v>0</v>
      </c>
      <c r="Q58" s="231"/>
      <c r="R58" s="231"/>
      <c r="S58" s="231"/>
      <c r="T58" s="25">
        <f t="shared" si="0"/>
        <v>0</v>
      </c>
      <c r="U58" s="137"/>
      <c r="V58" s="137"/>
      <c r="W58" s="137"/>
      <c r="X58" s="26"/>
      <c r="Y58" s="52"/>
      <c r="Z58" s="348"/>
    </row>
    <row r="59" spans="1:26">
      <c r="A59" s="61"/>
      <c r="B59" s="22" t="s">
        <v>28</v>
      </c>
      <c r="C59" s="309"/>
      <c r="D59" s="361"/>
      <c r="E59" s="318"/>
      <c r="F59" s="313"/>
      <c r="G59" s="144">
        <v>0</v>
      </c>
      <c r="H59" s="19"/>
      <c r="I59" s="26"/>
      <c r="J59" s="26"/>
      <c r="K59" s="26"/>
      <c r="L59" s="144">
        <v>0</v>
      </c>
      <c r="M59" s="137"/>
      <c r="N59" s="137"/>
      <c r="O59" s="137"/>
      <c r="P59" s="240">
        <v>0</v>
      </c>
      <c r="Q59" s="231"/>
      <c r="R59" s="231"/>
      <c r="S59" s="231"/>
      <c r="T59" s="25">
        <f t="shared" si="0"/>
        <v>0</v>
      </c>
      <c r="U59" s="137"/>
      <c r="V59" s="137"/>
      <c r="W59" s="137"/>
      <c r="X59" s="26"/>
      <c r="Y59" s="26"/>
      <c r="Z59" s="348"/>
    </row>
    <row r="60" spans="1:26">
      <c r="A60" s="61"/>
      <c r="B60" s="39" t="s">
        <v>29</v>
      </c>
      <c r="C60" s="309"/>
      <c r="D60" s="361"/>
      <c r="E60" s="318"/>
      <c r="F60" s="313"/>
      <c r="G60" s="145">
        <v>0</v>
      </c>
      <c r="H60" s="19"/>
      <c r="I60" s="19"/>
      <c r="J60" s="19"/>
      <c r="K60" s="19"/>
      <c r="L60" s="145">
        <v>0</v>
      </c>
      <c r="M60" s="144"/>
      <c r="N60" s="144"/>
      <c r="O60" s="144"/>
      <c r="P60" s="239">
        <v>0</v>
      </c>
      <c r="Q60" s="240"/>
      <c r="R60" s="240"/>
      <c r="S60" s="240"/>
      <c r="T60" s="25">
        <f t="shared" si="0"/>
        <v>0</v>
      </c>
      <c r="U60" s="144"/>
      <c r="V60" s="144"/>
      <c r="W60" s="144"/>
      <c r="X60" s="19"/>
      <c r="Y60" s="19"/>
      <c r="Z60" s="348"/>
    </row>
    <row r="61" spans="1:26">
      <c r="A61" s="61"/>
      <c r="B61" s="39" t="s">
        <v>30</v>
      </c>
      <c r="C61" s="309"/>
      <c r="D61" s="361"/>
      <c r="E61" s="318"/>
      <c r="F61" s="313"/>
      <c r="G61" s="145">
        <v>0</v>
      </c>
      <c r="H61" s="19"/>
      <c r="I61" s="19"/>
      <c r="J61" s="19"/>
      <c r="K61" s="19"/>
      <c r="L61" s="145">
        <v>0</v>
      </c>
      <c r="M61" s="144"/>
      <c r="N61" s="144"/>
      <c r="O61" s="144"/>
      <c r="P61" s="239">
        <v>0</v>
      </c>
      <c r="Q61" s="240"/>
      <c r="R61" s="240"/>
      <c r="S61" s="240"/>
      <c r="T61" s="25">
        <f t="shared" si="0"/>
        <v>0</v>
      </c>
      <c r="U61" s="144"/>
      <c r="V61" s="144"/>
      <c r="W61" s="144"/>
      <c r="X61" s="19"/>
      <c r="Y61" s="19"/>
      <c r="Z61" s="348"/>
    </row>
    <row r="62" spans="1:26">
      <c r="A62" s="61"/>
      <c r="B62" s="39" t="s">
        <v>31</v>
      </c>
      <c r="C62" s="309"/>
      <c r="D62" s="361"/>
      <c r="E62" s="318"/>
      <c r="F62" s="313"/>
      <c r="G62" s="145">
        <v>0</v>
      </c>
      <c r="H62" s="19"/>
      <c r="I62" s="19"/>
      <c r="J62" s="19"/>
      <c r="K62" s="19"/>
      <c r="L62" s="145">
        <v>0</v>
      </c>
      <c r="M62" s="144"/>
      <c r="N62" s="144"/>
      <c r="O62" s="144"/>
      <c r="P62" s="239">
        <v>0</v>
      </c>
      <c r="Q62" s="240"/>
      <c r="R62" s="240"/>
      <c r="S62" s="240"/>
      <c r="T62" s="25">
        <f t="shared" si="0"/>
        <v>0</v>
      </c>
      <c r="U62" s="144"/>
      <c r="V62" s="144"/>
      <c r="W62" s="144"/>
      <c r="X62" s="19"/>
      <c r="Y62" s="19"/>
      <c r="Z62" s="348"/>
    </row>
    <row r="63" spans="1:26">
      <c r="A63" s="61"/>
      <c r="B63" s="22" t="s">
        <v>35</v>
      </c>
      <c r="C63" s="310"/>
      <c r="D63" s="361"/>
      <c r="E63" s="318"/>
      <c r="F63" s="313"/>
      <c r="G63" s="144">
        <v>0</v>
      </c>
      <c r="H63" s="19"/>
      <c r="I63" s="19"/>
      <c r="J63" s="19"/>
      <c r="K63" s="19"/>
      <c r="L63" s="144">
        <v>0</v>
      </c>
      <c r="M63" s="144"/>
      <c r="N63" s="144"/>
      <c r="O63" s="144"/>
      <c r="P63" s="240">
        <v>0</v>
      </c>
      <c r="Q63" s="240"/>
      <c r="R63" s="240"/>
      <c r="S63" s="240"/>
      <c r="T63" s="25">
        <f t="shared" si="0"/>
        <v>0</v>
      </c>
      <c r="U63" s="144"/>
      <c r="V63" s="144"/>
      <c r="W63" s="144"/>
      <c r="X63" s="19"/>
      <c r="Y63" s="19"/>
      <c r="Z63" s="348"/>
    </row>
    <row r="64" spans="1:26">
      <c r="A64" s="61"/>
      <c r="B64" s="22" t="s">
        <v>36</v>
      </c>
      <c r="C64" s="311"/>
      <c r="D64" s="362"/>
      <c r="E64" s="319"/>
      <c r="F64" s="314"/>
      <c r="G64" s="144">
        <v>0</v>
      </c>
      <c r="H64" s="19"/>
      <c r="I64" s="19"/>
      <c r="J64" s="19"/>
      <c r="K64" s="19"/>
      <c r="L64" s="144">
        <v>0</v>
      </c>
      <c r="M64" s="144"/>
      <c r="N64" s="144"/>
      <c r="O64" s="144"/>
      <c r="P64" s="240">
        <v>0</v>
      </c>
      <c r="Q64" s="240"/>
      <c r="R64" s="240"/>
      <c r="S64" s="240"/>
      <c r="T64" s="25">
        <f t="shared" si="0"/>
        <v>0</v>
      </c>
      <c r="U64" s="144"/>
      <c r="V64" s="144"/>
      <c r="W64" s="144"/>
      <c r="X64" s="19"/>
      <c r="Y64" s="19"/>
      <c r="Z64" s="349"/>
    </row>
    <row r="65" spans="1:27" s="1" customFormat="1" ht="21.75" customHeight="1">
      <c r="A65" s="329"/>
      <c r="B65" s="16" t="s">
        <v>13</v>
      </c>
      <c r="C65" s="343"/>
      <c r="D65" s="357"/>
      <c r="E65" s="320">
        <f>G21+G10+G32+G43+G54</f>
        <v>227233.15</v>
      </c>
      <c r="F65" s="320">
        <f>G22+G11+G33+G44+G55</f>
        <v>227233.15</v>
      </c>
      <c r="G65" s="19">
        <f>G66+G68+G70+G74+G75</f>
        <v>116421.35</v>
      </c>
      <c r="H65" s="19">
        <f>H66+H68+H70+H74+H75</f>
        <v>0</v>
      </c>
      <c r="I65" s="19">
        <f t="shared" ref="I65:K65" si="1">I66+I68+I70+I74+I75</f>
        <v>0</v>
      </c>
      <c r="J65" s="19">
        <f t="shared" si="1"/>
        <v>0</v>
      </c>
      <c r="K65" s="19">
        <f t="shared" si="1"/>
        <v>0</v>
      </c>
      <c r="L65" s="144">
        <f t="shared" ref="L65" si="2">L66+L68+L70+L74+L75</f>
        <v>55405.900000000009</v>
      </c>
      <c r="M65" s="144"/>
      <c r="N65" s="144"/>
      <c r="O65" s="144"/>
      <c r="P65" s="240">
        <f t="shared" ref="P65" si="3">P66+P68+P70+P74+P75</f>
        <v>0</v>
      </c>
      <c r="Q65" s="240"/>
      <c r="R65" s="240"/>
      <c r="S65" s="240"/>
      <c r="T65" s="25">
        <f>L65+H65+P65</f>
        <v>55405.900000000009</v>
      </c>
      <c r="U65" s="144"/>
      <c r="V65" s="144"/>
      <c r="W65" s="144"/>
      <c r="X65" s="19">
        <f>X66+X68+X70+X74+X75</f>
        <v>55405.850000000006</v>
      </c>
      <c r="Y65" s="19">
        <f>Y66+Y68+Y70+Y74+Y75</f>
        <v>61015.5</v>
      </c>
      <c r="Z65" s="304"/>
      <c r="AA65" s="53"/>
    </row>
    <row r="66" spans="1:27" s="1" customFormat="1" ht="12.75" customHeight="1">
      <c r="A66" s="328"/>
      <c r="B66" s="21" t="s">
        <v>123</v>
      </c>
      <c r="C66" s="344"/>
      <c r="D66" s="358"/>
      <c r="E66" s="321"/>
      <c r="F66" s="321"/>
      <c r="G66" s="285">
        <f>H66+X66+Y66</f>
        <v>116421.35</v>
      </c>
      <c r="H66" s="293">
        <f>H22+H11+H44+H33+H55</f>
        <v>0</v>
      </c>
      <c r="I66" s="293">
        <f t="shared" ref="I66:K66" si="4">I22+I11+I44+I33+I55</f>
        <v>0</v>
      </c>
      <c r="J66" s="293">
        <f t="shared" si="4"/>
        <v>0</v>
      </c>
      <c r="K66" s="293">
        <f t="shared" si="4"/>
        <v>0</v>
      </c>
      <c r="L66" s="293">
        <f>L22+L11+L44+L33+L55</f>
        <v>55405.900000000009</v>
      </c>
      <c r="M66" s="139"/>
      <c r="N66" s="139"/>
      <c r="O66" s="139"/>
      <c r="P66" s="293">
        <f>P22+P11+P44+P33+P55</f>
        <v>0</v>
      </c>
      <c r="Q66" s="229"/>
      <c r="R66" s="229"/>
      <c r="S66" s="229"/>
      <c r="T66" s="293">
        <f>T22+T11+T44+T33+T55</f>
        <v>55405.900000000009</v>
      </c>
      <c r="U66" s="139"/>
      <c r="V66" s="139"/>
      <c r="W66" s="139"/>
      <c r="X66" s="293">
        <f>X22+X11+X44+X33+X55</f>
        <v>55405.850000000006</v>
      </c>
      <c r="Y66" s="293">
        <f>Y22+Y11+Y44+Y33+Y55</f>
        <v>61015.5</v>
      </c>
      <c r="Z66" s="305"/>
    </row>
    <row r="67" spans="1:27" s="1" customFormat="1" ht="12.75" customHeight="1">
      <c r="A67" s="328"/>
      <c r="B67" s="62" t="s">
        <v>103</v>
      </c>
      <c r="C67" s="344"/>
      <c r="D67" s="358"/>
      <c r="E67" s="321"/>
      <c r="F67" s="321"/>
      <c r="G67" s="286"/>
      <c r="H67" s="294"/>
      <c r="I67" s="294"/>
      <c r="J67" s="294"/>
      <c r="K67" s="294"/>
      <c r="L67" s="294"/>
      <c r="M67" s="140"/>
      <c r="N67" s="140"/>
      <c r="O67" s="140"/>
      <c r="P67" s="294"/>
      <c r="Q67" s="230"/>
      <c r="R67" s="230"/>
      <c r="S67" s="230"/>
      <c r="T67" s="294"/>
      <c r="U67" s="140"/>
      <c r="V67" s="140"/>
      <c r="W67" s="140"/>
      <c r="X67" s="294"/>
      <c r="Y67" s="294"/>
      <c r="Z67" s="305"/>
      <c r="AA67" s="53"/>
    </row>
    <row r="68" spans="1:27" s="1" customFormat="1">
      <c r="A68" s="328"/>
      <c r="B68" s="22" t="s">
        <v>27</v>
      </c>
      <c r="C68" s="344"/>
      <c r="D68" s="358"/>
      <c r="E68" s="321"/>
      <c r="F68" s="321"/>
      <c r="G68" s="19">
        <f>SUM(G69)</f>
        <v>0</v>
      </c>
      <c r="H68" s="19"/>
      <c r="I68" s="19"/>
      <c r="J68" s="19"/>
      <c r="K68" s="19"/>
      <c r="L68" s="144"/>
      <c r="M68" s="144"/>
      <c r="N68" s="144"/>
      <c r="O68" s="144"/>
      <c r="P68" s="240"/>
      <c r="Q68" s="240"/>
      <c r="R68" s="240"/>
      <c r="S68" s="240"/>
      <c r="T68" s="240"/>
      <c r="U68" s="144"/>
      <c r="V68" s="144"/>
      <c r="W68" s="144"/>
      <c r="X68" s="19"/>
      <c r="Y68" s="19"/>
      <c r="Z68" s="305"/>
    </row>
    <row r="69" spans="1:27" s="1" customFormat="1" ht="15" customHeight="1">
      <c r="A69" s="328"/>
      <c r="B69" s="42" t="s">
        <v>50</v>
      </c>
      <c r="C69" s="344"/>
      <c r="D69" s="358"/>
      <c r="E69" s="321"/>
      <c r="F69" s="321"/>
      <c r="G69" s="46">
        <f>H69+X69+Y69</f>
        <v>0</v>
      </c>
      <c r="H69" s="46">
        <f>H25</f>
        <v>0</v>
      </c>
      <c r="I69" s="46">
        <f t="shared" ref="I69:K69" si="5">I25</f>
        <v>0</v>
      </c>
      <c r="J69" s="46">
        <f t="shared" si="5"/>
        <v>0</v>
      </c>
      <c r="K69" s="46">
        <f t="shared" si="5"/>
        <v>0</v>
      </c>
      <c r="L69" s="145">
        <f t="shared" ref="L69" si="6">L25</f>
        <v>0</v>
      </c>
      <c r="M69" s="145"/>
      <c r="N69" s="145"/>
      <c r="O69" s="145"/>
      <c r="P69" s="239">
        <f t="shared" ref="P69" si="7">P25</f>
        <v>0</v>
      </c>
      <c r="Q69" s="239"/>
      <c r="R69" s="239"/>
      <c r="S69" s="239"/>
      <c r="T69" s="239">
        <f t="shared" ref="T69" si="8">T25</f>
        <v>0</v>
      </c>
      <c r="U69" s="145"/>
      <c r="V69" s="145"/>
      <c r="W69" s="145"/>
      <c r="X69" s="46">
        <f>X25</f>
        <v>0</v>
      </c>
      <c r="Y69" s="46">
        <f>Y25</f>
        <v>0</v>
      </c>
      <c r="Z69" s="305"/>
    </row>
    <row r="70" spans="1:27" s="1" customFormat="1">
      <c r="A70" s="328"/>
      <c r="B70" s="22" t="s">
        <v>28</v>
      </c>
      <c r="C70" s="344"/>
      <c r="D70" s="358"/>
      <c r="E70" s="321"/>
      <c r="F70" s="321"/>
      <c r="G70" s="19">
        <f>SUM(G71:G73)</f>
        <v>0</v>
      </c>
      <c r="H70" s="19">
        <f>SUM(H71:H73)</f>
        <v>0</v>
      </c>
      <c r="I70" s="19">
        <f t="shared" ref="I70:K70" si="9">SUM(I71:I73)</f>
        <v>0</v>
      </c>
      <c r="J70" s="19">
        <f t="shared" si="9"/>
        <v>0</v>
      </c>
      <c r="K70" s="19">
        <f t="shared" si="9"/>
        <v>0</v>
      </c>
      <c r="L70" s="144">
        <f t="shared" ref="L70" si="10">SUM(L71:L73)</f>
        <v>0</v>
      </c>
      <c r="M70" s="144"/>
      <c r="N70" s="144"/>
      <c r="O70" s="144"/>
      <c r="P70" s="240">
        <f t="shared" ref="P70" si="11">SUM(P71:P73)</f>
        <v>0</v>
      </c>
      <c r="Q70" s="240"/>
      <c r="R70" s="240"/>
      <c r="S70" s="240"/>
      <c r="T70" s="240">
        <f t="shared" ref="T70" si="12">SUM(T71:T73)</f>
        <v>0</v>
      </c>
      <c r="U70" s="144"/>
      <c r="V70" s="144"/>
      <c r="W70" s="144"/>
      <c r="X70" s="19">
        <f>SUM(X71:X73)</f>
        <v>0</v>
      </c>
      <c r="Y70" s="19">
        <f>SUM(Y71:Y73)</f>
        <v>0</v>
      </c>
      <c r="Z70" s="305"/>
    </row>
    <row r="71" spans="1:27" s="1" customFormat="1" ht="15.75" customHeight="1">
      <c r="A71" s="301"/>
      <c r="B71" s="39" t="s">
        <v>29</v>
      </c>
      <c r="C71" s="345"/>
      <c r="D71" s="359"/>
      <c r="E71" s="322"/>
      <c r="F71" s="322"/>
      <c r="G71" s="46">
        <f>SUM(H71:Y71)</f>
        <v>0</v>
      </c>
      <c r="H71" s="46">
        <f t="shared" ref="H71:Y73" si="13">H27+H16</f>
        <v>0</v>
      </c>
      <c r="I71" s="46">
        <f t="shared" ref="I71:K71" si="14">I27+I16</f>
        <v>0</v>
      </c>
      <c r="J71" s="46">
        <f t="shared" si="14"/>
        <v>0</v>
      </c>
      <c r="K71" s="46">
        <f t="shared" si="14"/>
        <v>0</v>
      </c>
      <c r="L71" s="145">
        <f t="shared" ref="L71" si="15">L27+L16</f>
        <v>0</v>
      </c>
      <c r="M71" s="145"/>
      <c r="N71" s="145"/>
      <c r="O71" s="145"/>
      <c r="P71" s="239">
        <f t="shared" ref="P71:P73" si="16">P27+P16</f>
        <v>0</v>
      </c>
      <c r="Q71" s="239"/>
      <c r="R71" s="239"/>
      <c r="S71" s="239"/>
      <c r="T71" s="239">
        <f t="shared" ref="T71:T73" si="17">T27+T16</f>
        <v>0</v>
      </c>
      <c r="U71" s="145"/>
      <c r="V71" s="145"/>
      <c r="W71" s="145"/>
      <c r="X71" s="46">
        <f t="shared" si="13"/>
        <v>0</v>
      </c>
      <c r="Y71" s="46">
        <f t="shared" si="13"/>
        <v>0</v>
      </c>
      <c r="Z71" s="305"/>
    </row>
    <row r="72" spans="1:27" s="1" customFormat="1" ht="15.75" customHeight="1">
      <c r="A72" s="301"/>
      <c r="B72" s="39" t="s">
        <v>30</v>
      </c>
      <c r="C72" s="345"/>
      <c r="D72" s="359"/>
      <c r="E72" s="322"/>
      <c r="F72" s="322"/>
      <c r="G72" s="46">
        <f>SUM(H72:Y72)</f>
        <v>0</v>
      </c>
      <c r="H72" s="46">
        <f t="shared" si="13"/>
        <v>0</v>
      </c>
      <c r="I72" s="46">
        <f t="shared" ref="I72:K72" si="18">I28+I17</f>
        <v>0</v>
      </c>
      <c r="J72" s="46">
        <f t="shared" si="18"/>
        <v>0</v>
      </c>
      <c r="K72" s="46">
        <f t="shared" si="18"/>
        <v>0</v>
      </c>
      <c r="L72" s="145">
        <f t="shared" ref="L72" si="19">L28+L17</f>
        <v>0</v>
      </c>
      <c r="M72" s="145"/>
      <c r="N72" s="145"/>
      <c r="O72" s="145"/>
      <c r="P72" s="239">
        <f t="shared" si="16"/>
        <v>0</v>
      </c>
      <c r="Q72" s="239"/>
      <c r="R72" s="239"/>
      <c r="S72" s="239"/>
      <c r="T72" s="239">
        <f t="shared" si="17"/>
        <v>0</v>
      </c>
      <c r="U72" s="145"/>
      <c r="V72" s="145"/>
      <c r="W72" s="145"/>
      <c r="X72" s="46">
        <f t="shared" si="13"/>
        <v>0</v>
      </c>
      <c r="Y72" s="46">
        <f t="shared" si="13"/>
        <v>0</v>
      </c>
      <c r="Z72" s="305"/>
    </row>
    <row r="73" spans="1:27" s="1" customFormat="1" ht="15.75" customHeight="1">
      <c r="A73" s="301"/>
      <c r="B73" s="39" t="s">
        <v>31</v>
      </c>
      <c r="C73" s="345"/>
      <c r="D73" s="359"/>
      <c r="E73" s="322"/>
      <c r="F73" s="322"/>
      <c r="G73" s="46">
        <f>SUM(H73:Y73)</f>
        <v>0</v>
      </c>
      <c r="H73" s="46">
        <f>H29+H18</f>
        <v>0</v>
      </c>
      <c r="I73" s="46">
        <f t="shared" ref="I73:K73" si="20">I29+I18</f>
        <v>0</v>
      </c>
      <c r="J73" s="46">
        <f t="shared" si="20"/>
        <v>0</v>
      </c>
      <c r="K73" s="46">
        <f t="shared" si="20"/>
        <v>0</v>
      </c>
      <c r="L73" s="145">
        <f t="shared" ref="L73" si="21">L29+L18</f>
        <v>0</v>
      </c>
      <c r="M73" s="145"/>
      <c r="N73" s="145"/>
      <c r="O73" s="145"/>
      <c r="P73" s="239">
        <f t="shared" si="16"/>
        <v>0</v>
      </c>
      <c r="Q73" s="239"/>
      <c r="R73" s="239"/>
      <c r="S73" s="239"/>
      <c r="T73" s="239">
        <f t="shared" si="17"/>
        <v>0</v>
      </c>
      <c r="U73" s="145"/>
      <c r="V73" s="145"/>
      <c r="W73" s="145"/>
      <c r="X73" s="46">
        <f t="shared" si="13"/>
        <v>0</v>
      </c>
      <c r="Y73" s="46">
        <f t="shared" si="13"/>
        <v>0</v>
      </c>
      <c r="Z73" s="305"/>
    </row>
    <row r="74" spans="1:27" ht="15.75" customHeight="1">
      <c r="A74" s="301"/>
      <c r="B74" s="22" t="s">
        <v>35</v>
      </c>
      <c r="C74" s="345"/>
      <c r="D74" s="359"/>
      <c r="E74" s="322"/>
      <c r="F74" s="322"/>
      <c r="G74" s="19">
        <f>SUM(H74:Y74)</f>
        <v>0</v>
      </c>
      <c r="H74" s="19"/>
      <c r="I74" s="19"/>
      <c r="J74" s="19"/>
      <c r="K74" s="19"/>
      <c r="L74" s="144"/>
      <c r="M74" s="144"/>
      <c r="N74" s="144"/>
      <c r="O74" s="144"/>
      <c r="P74" s="240"/>
      <c r="Q74" s="240"/>
      <c r="R74" s="240"/>
      <c r="S74" s="240"/>
      <c r="T74" s="144"/>
      <c r="U74" s="144"/>
      <c r="V74" s="144"/>
      <c r="W74" s="144"/>
      <c r="X74" s="19"/>
      <c r="Y74" s="19"/>
      <c r="Z74" s="305"/>
    </row>
    <row r="75" spans="1:27" ht="15.75" customHeight="1">
      <c r="A75" s="289"/>
      <c r="B75" s="22" t="s">
        <v>36</v>
      </c>
      <c r="C75" s="346"/>
      <c r="D75" s="360"/>
      <c r="E75" s="323"/>
      <c r="F75" s="323"/>
      <c r="G75" s="19">
        <f>SUM(H75:Y75)</f>
        <v>0</v>
      </c>
      <c r="H75" s="19"/>
      <c r="I75" s="19"/>
      <c r="J75" s="19"/>
      <c r="K75" s="19"/>
      <c r="L75" s="144"/>
      <c r="M75" s="144"/>
      <c r="N75" s="144"/>
      <c r="O75" s="144"/>
      <c r="P75" s="240"/>
      <c r="Q75" s="240"/>
      <c r="R75" s="240"/>
      <c r="S75" s="240"/>
      <c r="T75" s="144"/>
      <c r="U75" s="144"/>
      <c r="V75" s="144"/>
      <c r="W75" s="144"/>
      <c r="X75" s="19"/>
      <c r="Y75" s="19"/>
      <c r="Z75" s="306"/>
    </row>
    <row r="76" spans="1:27">
      <c r="B76" s="76"/>
      <c r="C76" s="5"/>
      <c r="D76" s="5"/>
      <c r="E76" s="47"/>
      <c r="F76" s="47"/>
      <c r="G76" s="3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2"/>
      <c r="Y76" s="28"/>
    </row>
    <row r="77" spans="1:27" ht="14.25">
      <c r="A77" s="75">
        <v>2</v>
      </c>
      <c r="B77" s="74" t="s">
        <v>62</v>
      </c>
      <c r="C77" s="17"/>
      <c r="D77" s="17"/>
      <c r="E77" s="41"/>
      <c r="F77" s="41"/>
      <c r="G77" s="29"/>
      <c r="H77" s="43"/>
      <c r="I77" s="44"/>
      <c r="J77" s="44"/>
      <c r="K77" s="77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37"/>
    </row>
    <row r="78" spans="1:27" ht="36.75" hidden="1" customHeight="1">
      <c r="A78" s="364" t="s">
        <v>63</v>
      </c>
      <c r="B78" s="18" t="s">
        <v>112</v>
      </c>
      <c r="C78" s="330" t="s">
        <v>55</v>
      </c>
      <c r="D78" s="327" t="s">
        <v>3</v>
      </c>
      <c r="E78" s="300">
        <v>0.115</v>
      </c>
      <c r="F78" s="324" t="s">
        <v>16</v>
      </c>
      <c r="G78" s="24">
        <f>G79+G81+G83+G87+G88</f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329"/>
    </row>
    <row r="79" spans="1:27" hidden="1">
      <c r="A79" s="316"/>
      <c r="B79" s="21" t="s">
        <v>123</v>
      </c>
      <c r="C79" s="331"/>
      <c r="D79" s="376"/>
      <c r="E79" s="366"/>
      <c r="F79" s="325"/>
      <c r="G79" s="285">
        <f>SUM(H79:Y79)</f>
        <v>0</v>
      </c>
      <c r="H79" s="285"/>
      <c r="I79" s="26"/>
      <c r="J79" s="26"/>
      <c r="K79" s="26"/>
      <c r="L79" s="137"/>
      <c r="M79" s="137"/>
      <c r="N79" s="137"/>
      <c r="O79" s="137"/>
      <c r="P79" s="231"/>
      <c r="Q79" s="231"/>
      <c r="R79" s="231"/>
      <c r="S79" s="231"/>
      <c r="T79" s="137"/>
      <c r="U79" s="137"/>
      <c r="V79" s="137"/>
      <c r="W79" s="137"/>
      <c r="X79" s="285"/>
      <c r="Y79" s="285"/>
      <c r="Z79" s="328"/>
    </row>
    <row r="80" spans="1:27" hidden="1">
      <c r="A80" s="316"/>
      <c r="B80" s="62" t="s">
        <v>103</v>
      </c>
      <c r="C80" s="331"/>
      <c r="D80" s="376"/>
      <c r="E80" s="366"/>
      <c r="F80" s="325"/>
      <c r="G80" s="287"/>
      <c r="H80" s="287"/>
      <c r="I80" s="27"/>
      <c r="J80" s="27"/>
      <c r="K80" s="27"/>
      <c r="L80" s="138"/>
      <c r="M80" s="138"/>
      <c r="N80" s="138"/>
      <c r="O80" s="138"/>
      <c r="P80" s="233"/>
      <c r="Q80" s="233"/>
      <c r="R80" s="233"/>
      <c r="S80" s="233"/>
      <c r="T80" s="138"/>
      <c r="U80" s="138"/>
      <c r="V80" s="138"/>
      <c r="W80" s="138"/>
      <c r="X80" s="287"/>
      <c r="Y80" s="287"/>
      <c r="Z80" s="328"/>
    </row>
    <row r="81" spans="1:26" hidden="1">
      <c r="A81" s="316"/>
      <c r="B81" s="22" t="s">
        <v>27</v>
      </c>
      <c r="C81" s="331"/>
      <c r="D81" s="376"/>
      <c r="E81" s="366"/>
      <c r="F81" s="325"/>
      <c r="G81" s="19">
        <f>SUM(G82)</f>
        <v>0</v>
      </c>
      <c r="H81" s="27"/>
      <c r="I81" s="27"/>
      <c r="J81" s="27"/>
      <c r="K81" s="27"/>
      <c r="L81" s="138"/>
      <c r="M81" s="138"/>
      <c r="N81" s="138"/>
      <c r="O81" s="138"/>
      <c r="P81" s="233"/>
      <c r="Q81" s="233"/>
      <c r="R81" s="233"/>
      <c r="S81" s="233"/>
      <c r="T81" s="138"/>
      <c r="U81" s="138"/>
      <c r="V81" s="138"/>
      <c r="W81" s="138"/>
      <c r="X81" s="27"/>
      <c r="Y81" s="27"/>
      <c r="Z81" s="328"/>
    </row>
    <row r="82" spans="1:26" hidden="1">
      <c r="A82" s="316"/>
      <c r="B82" s="42" t="s">
        <v>37</v>
      </c>
      <c r="C82" s="331"/>
      <c r="D82" s="376"/>
      <c r="E82" s="366"/>
      <c r="F82" s="325"/>
      <c r="G82" s="46">
        <f>SUM(H82:Y82)</f>
        <v>0</v>
      </c>
      <c r="H82" s="27"/>
      <c r="I82" s="27"/>
      <c r="J82" s="27"/>
      <c r="K82" s="27"/>
      <c r="L82" s="138"/>
      <c r="M82" s="138"/>
      <c r="N82" s="138"/>
      <c r="O82" s="138"/>
      <c r="P82" s="233"/>
      <c r="Q82" s="233"/>
      <c r="R82" s="233"/>
      <c r="S82" s="233"/>
      <c r="T82" s="138"/>
      <c r="U82" s="138"/>
      <c r="V82" s="138"/>
      <c r="W82" s="138"/>
      <c r="X82" s="27"/>
      <c r="Y82" s="27"/>
      <c r="Z82" s="328"/>
    </row>
    <row r="83" spans="1:26" hidden="1">
      <c r="A83" s="316"/>
      <c r="B83" s="22" t="s">
        <v>28</v>
      </c>
      <c r="C83" s="331"/>
      <c r="D83" s="376"/>
      <c r="E83" s="366"/>
      <c r="F83" s="325"/>
      <c r="G83" s="19">
        <f>SUM(G84:G86)</f>
        <v>0</v>
      </c>
      <c r="H83" s="19">
        <f>SUM(H84:H86)</f>
        <v>0</v>
      </c>
      <c r="I83" s="19"/>
      <c r="J83" s="19"/>
      <c r="K83" s="19"/>
      <c r="L83" s="144"/>
      <c r="M83" s="144"/>
      <c r="N83" s="144"/>
      <c r="O83" s="144"/>
      <c r="P83" s="240"/>
      <c r="Q83" s="240"/>
      <c r="R83" s="240"/>
      <c r="S83" s="240"/>
      <c r="T83" s="144"/>
      <c r="U83" s="144"/>
      <c r="V83" s="144"/>
      <c r="W83" s="144"/>
      <c r="X83" s="19">
        <f>SUM(X84:X86)</f>
        <v>0</v>
      </c>
      <c r="Y83" s="19">
        <f>SUM(Y84:Y86)</f>
        <v>0</v>
      </c>
      <c r="Z83" s="328"/>
    </row>
    <row r="84" spans="1:26" hidden="1">
      <c r="A84" s="316"/>
      <c r="B84" s="42" t="s">
        <v>39</v>
      </c>
      <c r="C84" s="331"/>
      <c r="D84" s="376"/>
      <c r="E84" s="366"/>
      <c r="F84" s="325"/>
      <c r="G84" s="46">
        <f>SUM(H84:Y84)</f>
        <v>0</v>
      </c>
      <c r="H84" s="19"/>
      <c r="I84" s="19"/>
      <c r="J84" s="19"/>
      <c r="K84" s="19"/>
      <c r="L84" s="144"/>
      <c r="M84" s="144"/>
      <c r="N84" s="144"/>
      <c r="O84" s="144"/>
      <c r="P84" s="240"/>
      <c r="Q84" s="240"/>
      <c r="R84" s="240"/>
      <c r="S84" s="240"/>
      <c r="T84" s="144"/>
      <c r="U84" s="144"/>
      <c r="V84" s="144"/>
      <c r="W84" s="144"/>
      <c r="X84" s="19"/>
      <c r="Y84" s="19"/>
      <c r="Z84" s="328"/>
    </row>
    <row r="85" spans="1:26" hidden="1">
      <c r="A85" s="316"/>
      <c r="B85" s="39" t="s">
        <v>30</v>
      </c>
      <c r="C85" s="331"/>
      <c r="D85" s="376"/>
      <c r="E85" s="366"/>
      <c r="F85" s="325"/>
      <c r="G85" s="46">
        <f>SUM(H85:Y85)</f>
        <v>0</v>
      </c>
      <c r="H85" s="19"/>
      <c r="I85" s="19"/>
      <c r="J85" s="19"/>
      <c r="K85" s="19"/>
      <c r="L85" s="144"/>
      <c r="M85" s="144"/>
      <c r="N85" s="144"/>
      <c r="O85" s="144"/>
      <c r="P85" s="240"/>
      <c r="Q85" s="240"/>
      <c r="R85" s="240"/>
      <c r="S85" s="240"/>
      <c r="T85" s="144"/>
      <c r="U85" s="144"/>
      <c r="V85" s="144"/>
      <c r="W85" s="144"/>
      <c r="X85" s="19"/>
      <c r="Y85" s="19"/>
      <c r="Z85" s="328"/>
    </row>
    <row r="86" spans="1:26" hidden="1">
      <c r="A86" s="316"/>
      <c r="B86" s="39" t="s">
        <v>31</v>
      </c>
      <c r="C86" s="331"/>
      <c r="D86" s="376"/>
      <c r="E86" s="366"/>
      <c r="F86" s="325"/>
      <c r="G86" s="46">
        <f>SUM(H86:Y86)</f>
        <v>0</v>
      </c>
      <c r="H86" s="46"/>
      <c r="I86" s="46"/>
      <c r="J86" s="46"/>
      <c r="K86" s="46"/>
      <c r="L86" s="145"/>
      <c r="M86" s="145"/>
      <c r="N86" s="145"/>
      <c r="O86" s="145"/>
      <c r="P86" s="239"/>
      <c r="Q86" s="239"/>
      <c r="R86" s="239"/>
      <c r="S86" s="239"/>
      <c r="T86" s="145"/>
      <c r="U86" s="145"/>
      <c r="V86" s="145"/>
      <c r="W86" s="145"/>
      <c r="X86" s="19"/>
      <c r="Y86" s="19"/>
      <c r="Z86" s="328"/>
    </row>
    <row r="87" spans="1:26" hidden="1">
      <c r="A87" s="316"/>
      <c r="B87" s="22" t="s">
        <v>35</v>
      </c>
      <c r="C87" s="331"/>
      <c r="D87" s="376"/>
      <c r="E87" s="366"/>
      <c r="F87" s="325"/>
      <c r="G87" s="19">
        <f>SUM(H87:Y87)</f>
        <v>0</v>
      </c>
      <c r="H87" s="19"/>
      <c r="I87" s="19"/>
      <c r="J87" s="19"/>
      <c r="K87" s="19"/>
      <c r="L87" s="144"/>
      <c r="M87" s="144"/>
      <c r="N87" s="144"/>
      <c r="O87" s="144"/>
      <c r="P87" s="240"/>
      <c r="Q87" s="240"/>
      <c r="R87" s="240"/>
      <c r="S87" s="240"/>
      <c r="T87" s="144"/>
      <c r="U87" s="144"/>
      <c r="V87" s="144"/>
      <c r="W87" s="144"/>
      <c r="X87" s="19"/>
      <c r="Y87" s="19"/>
      <c r="Z87" s="328"/>
    </row>
    <row r="88" spans="1:26" hidden="1">
      <c r="A88" s="317"/>
      <c r="B88" s="22" t="s">
        <v>36</v>
      </c>
      <c r="C88" s="353"/>
      <c r="D88" s="377"/>
      <c r="E88" s="367"/>
      <c r="F88" s="365"/>
      <c r="G88" s="19">
        <f>SUM(H88:Y88)</f>
        <v>0</v>
      </c>
      <c r="H88" s="19"/>
      <c r="I88" s="19"/>
      <c r="J88" s="19"/>
      <c r="K88" s="19"/>
      <c r="L88" s="144"/>
      <c r="M88" s="144"/>
      <c r="N88" s="144"/>
      <c r="O88" s="144"/>
      <c r="P88" s="240"/>
      <c r="Q88" s="240"/>
      <c r="R88" s="240"/>
      <c r="S88" s="240"/>
      <c r="T88" s="144"/>
      <c r="U88" s="144"/>
      <c r="V88" s="144"/>
      <c r="W88" s="144"/>
      <c r="X88" s="19"/>
      <c r="Y88" s="19"/>
      <c r="Z88" s="342"/>
    </row>
    <row r="89" spans="1:26" ht="25.5" customHeight="1">
      <c r="A89" s="315" t="s">
        <v>63</v>
      </c>
      <c r="B89" s="12" t="s">
        <v>20</v>
      </c>
      <c r="C89" s="378" t="s">
        <v>55</v>
      </c>
      <c r="D89" s="327" t="s">
        <v>0</v>
      </c>
      <c r="E89" s="300">
        <v>0.14000000000000001</v>
      </c>
      <c r="F89" s="300" t="s">
        <v>16</v>
      </c>
      <c r="G89" s="24">
        <f>G90+G92+G94+G98+G99</f>
        <v>43392.899999999994</v>
      </c>
      <c r="H89" s="19"/>
      <c r="I89" s="19"/>
      <c r="J89" s="19"/>
      <c r="K89" s="19"/>
      <c r="L89" s="24">
        <f>L90+L92+L94+L98+L99</f>
        <v>14464.3</v>
      </c>
      <c r="M89" s="144"/>
      <c r="N89" s="144"/>
      <c r="O89" s="144"/>
      <c r="P89" s="24">
        <f>P90+P92+P94+P98+P99</f>
        <v>0</v>
      </c>
      <c r="Q89" s="240"/>
      <c r="R89" s="240"/>
      <c r="S89" s="240"/>
      <c r="T89" s="25">
        <f t="shared" ref="T89:T99" si="22">L89+H89</f>
        <v>14464.3</v>
      </c>
      <c r="U89" s="144"/>
      <c r="V89" s="144"/>
      <c r="W89" s="144"/>
      <c r="X89" s="19"/>
      <c r="Y89" s="19"/>
      <c r="Z89" s="329"/>
    </row>
    <row r="90" spans="1:26">
      <c r="A90" s="316"/>
      <c r="B90" s="21" t="s">
        <v>123</v>
      </c>
      <c r="C90" s="379"/>
      <c r="D90" s="328"/>
      <c r="E90" s="301"/>
      <c r="F90" s="301"/>
      <c r="G90" s="285">
        <f>SUM(H90:Y90)</f>
        <v>43392.899999999994</v>
      </c>
      <c r="H90" s="285"/>
      <c r="I90" s="26"/>
      <c r="J90" s="26"/>
      <c r="K90" s="26"/>
      <c r="L90" s="285">
        <v>14464.3</v>
      </c>
      <c r="M90" s="137"/>
      <c r="N90" s="137"/>
      <c r="O90" s="137"/>
      <c r="P90" s="285">
        <v>0</v>
      </c>
      <c r="Q90" s="231"/>
      <c r="R90" s="231"/>
      <c r="S90" s="231"/>
      <c r="T90" s="285">
        <f t="shared" si="22"/>
        <v>14464.3</v>
      </c>
      <c r="U90" s="137"/>
      <c r="V90" s="137"/>
      <c r="W90" s="137"/>
      <c r="X90" s="285">
        <v>14464.3</v>
      </c>
      <c r="Y90" s="285"/>
      <c r="Z90" s="328"/>
    </row>
    <row r="91" spans="1:26">
      <c r="A91" s="316"/>
      <c r="B91" s="62" t="s">
        <v>103</v>
      </c>
      <c r="C91" s="379"/>
      <c r="D91" s="328"/>
      <c r="E91" s="301"/>
      <c r="F91" s="301"/>
      <c r="G91" s="286"/>
      <c r="H91" s="287"/>
      <c r="I91" s="27"/>
      <c r="J91" s="27"/>
      <c r="K91" s="27"/>
      <c r="L91" s="286"/>
      <c r="M91" s="138"/>
      <c r="N91" s="138"/>
      <c r="O91" s="138"/>
      <c r="P91" s="286"/>
      <c r="Q91" s="233"/>
      <c r="R91" s="233"/>
      <c r="S91" s="233"/>
      <c r="T91" s="286">
        <f t="shared" si="22"/>
        <v>0</v>
      </c>
      <c r="U91" s="138"/>
      <c r="V91" s="138"/>
      <c r="W91" s="138"/>
      <c r="X91" s="287"/>
      <c r="Y91" s="287"/>
      <c r="Z91" s="328"/>
    </row>
    <row r="92" spans="1:26">
      <c r="A92" s="316"/>
      <c r="B92" s="49" t="s">
        <v>27</v>
      </c>
      <c r="C92" s="379"/>
      <c r="D92" s="328"/>
      <c r="E92" s="301"/>
      <c r="F92" s="301"/>
      <c r="G92" s="144">
        <v>0</v>
      </c>
      <c r="H92" s="27"/>
      <c r="I92" s="27"/>
      <c r="J92" s="27"/>
      <c r="K92" s="27"/>
      <c r="L92" s="144">
        <v>0</v>
      </c>
      <c r="M92" s="138"/>
      <c r="N92" s="138"/>
      <c r="O92" s="138"/>
      <c r="P92" s="240">
        <v>0</v>
      </c>
      <c r="Q92" s="233"/>
      <c r="R92" s="233"/>
      <c r="S92" s="233"/>
      <c r="T92" s="25">
        <f t="shared" si="22"/>
        <v>0</v>
      </c>
      <c r="U92" s="138"/>
      <c r="V92" s="138"/>
      <c r="W92" s="138"/>
      <c r="X92" s="27"/>
      <c r="Y92" s="27"/>
      <c r="Z92" s="328"/>
    </row>
    <row r="93" spans="1:26">
      <c r="A93" s="316"/>
      <c r="B93" s="42" t="s">
        <v>37</v>
      </c>
      <c r="C93" s="379"/>
      <c r="D93" s="328"/>
      <c r="E93" s="301"/>
      <c r="F93" s="301"/>
      <c r="G93" s="145">
        <v>0</v>
      </c>
      <c r="H93" s="27"/>
      <c r="I93" s="27"/>
      <c r="J93" s="27"/>
      <c r="K93" s="27"/>
      <c r="L93" s="145">
        <v>0</v>
      </c>
      <c r="M93" s="138"/>
      <c r="N93" s="138"/>
      <c r="O93" s="138"/>
      <c r="P93" s="239">
        <v>0</v>
      </c>
      <c r="Q93" s="233"/>
      <c r="R93" s="233"/>
      <c r="S93" s="233"/>
      <c r="T93" s="25">
        <f t="shared" si="22"/>
        <v>0</v>
      </c>
      <c r="U93" s="138"/>
      <c r="V93" s="138"/>
      <c r="W93" s="138"/>
      <c r="X93" s="27"/>
      <c r="Y93" s="27"/>
      <c r="Z93" s="328"/>
    </row>
    <row r="94" spans="1:26">
      <c r="A94" s="316"/>
      <c r="B94" s="22" t="s">
        <v>28</v>
      </c>
      <c r="C94" s="379"/>
      <c r="D94" s="328"/>
      <c r="E94" s="301"/>
      <c r="F94" s="301"/>
      <c r="G94" s="144">
        <v>0</v>
      </c>
      <c r="H94" s="27"/>
      <c r="I94" s="27"/>
      <c r="J94" s="27"/>
      <c r="K94" s="27"/>
      <c r="L94" s="144">
        <v>0</v>
      </c>
      <c r="M94" s="138"/>
      <c r="N94" s="138"/>
      <c r="O94" s="138"/>
      <c r="P94" s="240">
        <v>0</v>
      </c>
      <c r="Q94" s="233"/>
      <c r="R94" s="233"/>
      <c r="S94" s="233"/>
      <c r="T94" s="25">
        <f t="shared" si="22"/>
        <v>0</v>
      </c>
      <c r="U94" s="138"/>
      <c r="V94" s="138"/>
      <c r="W94" s="138"/>
      <c r="X94" s="27"/>
      <c r="Y94" s="27"/>
      <c r="Z94" s="328"/>
    </row>
    <row r="95" spans="1:26">
      <c r="A95" s="316"/>
      <c r="B95" s="42" t="s">
        <v>39</v>
      </c>
      <c r="C95" s="310"/>
      <c r="D95" s="301"/>
      <c r="E95" s="301"/>
      <c r="F95" s="301"/>
      <c r="G95" s="145">
        <v>0</v>
      </c>
      <c r="H95" s="19"/>
      <c r="I95" s="19"/>
      <c r="J95" s="19"/>
      <c r="K95" s="19"/>
      <c r="L95" s="145">
        <v>0</v>
      </c>
      <c r="M95" s="144"/>
      <c r="N95" s="144"/>
      <c r="O95" s="144"/>
      <c r="P95" s="239">
        <v>0</v>
      </c>
      <c r="Q95" s="240"/>
      <c r="R95" s="240"/>
      <c r="S95" s="240"/>
      <c r="T95" s="25">
        <f t="shared" si="22"/>
        <v>0</v>
      </c>
      <c r="U95" s="144"/>
      <c r="V95" s="144"/>
      <c r="W95" s="144"/>
      <c r="X95" s="19"/>
      <c r="Y95" s="19"/>
      <c r="Z95" s="301"/>
    </row>
    <row r="96" spans="1:26">
      <c r="A96" s="316"/>
      <c r="B96" s="39" t="s">
        <v>30</v>
      </c>
      <c r="C96" s="310"/>
      <c r="D96" s="301"/>
      <c r="E96" s="301"/>
      <c r="F96" s="301"/>
      <c r="G96" s="145">
        <v>0</v>
      </c>
      <c r="H96" s="19"/>
      <c r="I96" s="19"/>
      <c r="J96" s="19"/>
      <c r="K96" s="19"/>
      <c r="L96" s="145">
        <v>0</v>
      </c>
      <c r="M96" s="144"/>
      <c r="N96" s="144"/>
      <c r="O96" s="144"/>
      <c r="P96" s="239">
        <v>0</v>
      </c>
      <c r="Q96" s="240"/>
      <c r="R96" s="240"/>
      <c r="S96" s="240"/>
      <c r="T96" s="25">
        <f t="shared" si="22"/>
        <v>0</v>
      </c>
      <c r="U96" s="144"/>
      <c r="V96" s="144"/>
      <c r="W96" s="144"/>
      <c r="X96" s="19"/>
      <c r="Y96" s="19"/>
      <c r="Z96" s="301"/>
    </row>
    <row r="97" spans="1:26">
      <c r="A97" s="316"/>
      <c r="B97" s="39" t="s">
        <v>31</v>
      </c>
      <c r="C97" s="310"/>
      <c r="D97" s="301"/>
      <c r="E97" s="301"/>
      <c r="F97" s="301"/>
      <c r="G97" s="145">
        <v>0</v>
      </c>
      <c r="H97" s="19"/>
      <c r="I97" s="19"/>
      <c r="J97" s="19"/>
      <c r="K97" s="19"/>
      <c r="L97" s="145">
        <v>0</v>
      </c>
      <c r="M97" s="144"/>
      <c r="N97" s="144"/>
      <c r="O97" s="144"/>
      <c r="P97" s="239">
        <v>0</v>
      </c>
      <c r="Q97" s="240"/>
      <c r="R97" s="240"/>
      <c r="S97" s="240"/>
      <c r="T97" s="25">
        <f t="shared" si="22"/>
        <v>0</v>
      </c>
      <c r="U97" s="144"/>
      <c r="V97" s="144"/>
      <c r="W97" s="144"/>
      <c r="X97" s="19"/>
      <c r="Y97" s="19"/>
      <c r="Z97" s="301"/>
    </row>
    <row r="98" spans="1:26">
      <c r="A98" s="316"/>
      <c r="B98" s="22" t="s">
        <v>35</v>
      </c>
      <c r="C98" s="310"/>
      <c r="D98" s="301"/>
      <c r="E98" s="301"/>
      <c r="F98" s="301"/>
      <c r="G98" s="144">
        <v>0</v>
      </c>
      <c r="H98" s="19"/>
      <c r="I98" s="19"/>
      <c r="J98" s="19"/>
      <c r="K98" s="19"/>
      <c r="L98" s="144">
        <v>0</v>
      </c>
      <c r="M98" s="144"/>
      <c r="N98" s="144"/>
      <c r="O98" s="144"/>
      <c r="P98" s="240">
        <v>0</v>
      </c>
      <c r="Q98" s="240"/>
      <c r="R98" s="240"/>
      <c r="S98" s="240"/>
      <c r="T98" s="25">
        <f t="shared" si="22"/>
        <v>0</v>
      </c>
      <c r="U98" s="144"/>
      <c r="V98" s="144"/>
      <c r="W98" s="144"/>
      <c r="X98" s="19"/>
      <c r="Y98" s="19"/>
      <c r="Z98" s="301"/>
    </row>
    <row r="99" spans="1:26">
      <c r="A99" s="317"/>
      <c r="B99" s="22" t="s">
        <v>36</v>
      </c>
      <c r="C99" s="311"/>
      <c r="D99" s="289"/>
      <c r="E99" s="289"/>
      <c r="F99" s="289"/>
      <c r="G99" s="144">
        <v>0</v>
      </c>
      <c r="H99" s="19"/>
      <c r="I99" s="19"/>
      <c r="J99" s="19"/>
      <c r="K99" s="19"/>
      <c r="L99" s="144">
        <v>0</v>
      </c>
      <c r="M99" s="144"/>
      <c r="N99" s="144"/>
      <c r="O99" s="144"/>
      <c r="P99" s="240">
        <v>0</v>
      </c>
      <c r="Q99" s="240"/>
      <c r="R99" s="240"/>
      <c r="S99" s="240"/>
      <c r="T99" s="25">
        <f t="shared" si="22"/>
        <v>0</v>
      </c>
      <c r="U99" s="144"/>
      <c r="V99" s="144"/>
      <c r="W99" s="144"/>
      <c r="X99" s="19"/>
      <c r="Y99" s="19"/>
      <c r="Z99" s="289"/>
    </row>
    <row r="100" spans="1:26" ht="25.5" customHeight="1">
      <c r="A100" s="315" t="s">
        <v>64</v>
      </c>
      <c r="B100" s="18" t="s">
        <v>81</v>
      </c>
      <c r="C100" s="330" t="s">
        <v>41</v>
      </c>
      <c r="D100" s="327" t="s">
        <v>9</v>
      </c>
      <c r="E100" s="300">
        <v>1.1000000000000001</v>
      </c>
      <c r="F100" s="324" t="s">
        <v>17</v>
      </c>
      <c r="G100" s="24">
        <f>G101+G103+G105+G109+G110</f>
        <v>131996.70000000001</v>
      </c>
      <c r="H100" s="25"/>
      <c r="I100" s="25"/>
      <c r="J100" s="25"/>
      <c r="K100" s="25"/>
      <c r="L100" s="24">
        <f>L101+L103+L105+L109+L110</f>
        <v>13199.7</v>
      </c>
      <c r="M100" s="25"/>
      <c r="N100" s="25"/>
      <c r="O100" s="25"/>
      <c r="P100" s="24">
        <f>P101+P103+P105+P109+P110</f>
        <v>118797</v>
      </c>
      <c r="Q100" s="25"/>
      <c r="R100" s="25"/>
      <c r="S100" s="25"/>
      <c r="T100" s="25">
        <f>L100+H100+P100</f>
        <v>131996.70000000001</v>
      </c>
      <c r="U100" s="25"/>
      <c r="V100" s="25"/>
      <c r="W100" s="25"/>
      <c r="X100" s="25"/>
      <c r="Y100" s="25"/>
      <c r="Z100" s="329"/>
    </row>
    <row r="101" spans="1:26">
      <c r="A101" s="316"/>
      <c r="B101" s="21" t="s">
        <v>123</v>
      </c>
      <c r="C101" s="331"/>
      <c r="D101" s="328"/>
      <c r="E101" s="301"/>
      <c r="F101" s="325"/>
      <c r="G101" s="285">
        <v>131996.70000000001</v>
      </c>
      <c r="H101" s="285"/>
      <c r="I101" s="26"/>
      <c r="J101" s="26"/>
      <c r="K101" s="26"/>
      <c r="L101" s="285">
        <v>13199.7</v>
      </c>
      <c r="M101" s="137"/>
      <c r="N101" s="137"/>
      <c r="O101" s="137"/>
      <c r="P101" s="285">
        <v>118797</v>
      </c>
      <c r="Q101" s="231"/>
      <c r="R101" s="231"/>
      <c r="S101" s="231"/>
      <c r="T101" s="288">
        <f t="shared" ref="T101" si="23">L101+H101+P101</f>
        <v>131996.70000000001</v>
      </c>
      <c r="U101" s="137"/>
      <c r="V101" s="137"/>
      <c r="W101" s="137"/>
      <c r="X101" s="285">
        <v>13199.7</v>
      </c>
      <c r="Y101" s="285">
        <v>118797</v>
      </c>
      <c r="Z101" s="328"/>
    </row>
    <row r="102" spans="1:26">
      <c r="A102" s="316"/>
      <c r="B102" s="62" t="s">
        <v>103</v>
      </c>
      <c r="C102" s="331"/>
      <c r="D102" s="328"/>
      <c r="E102" s="301"/>
      <c r="F102" s="325"/>
      <c r="G102" s="286"/>
      <c r="H102" s="287"/>
      <c r="I102" s="27"/>
      <c r="J102" s="27"/>
      <c r="K102" s="27"/>
      <c r="L102" s="286"/>
      <c r="M102" s="138"/>
      <c r="N102" s="138"/>
      <c r="O102" s="138"/>
      <c r="P102" s="286"/>
      <c r="Q102" s="233"/>
      <c r="R102" s="233"/>
      <c r="S102" s="233"/>
      <c r="T102" s="289"/>
      <c r="U102" s="138"/>
      <c r="V102" s="138"/>
      <c r="W102" s="138"/>
      <c r="X102" s="287"/>
      <c r="Y102" s="287"/>
      <c r="Z102" s="328"/>
    </row>
    <row r="103" spans="1:26">
      <c r="A103" s="316"/>
      <c r="B103" s="22" t="s">
        <v>27</v>
      </c>
      <c r="C103" s="331"/>
      <c r="D103" s="328"/>
      <c r="E103" s="301"/>
      <c r="F103" s="325"/>
      <c r="G103" s="144">
        <v>0</v>
      </c>
      <c r="H103" s="27"/>
      <c r="I103" s="27"/>
      <c r="J103" s="27"/>
      <c r="K103" s="27"/>
      <c r="L103" s="144">
        <v>0</v>
      </c>
      <c r="M103" s="138"/>
      <c r="N103" s="138"/>
      <c r="O103" s="138"/>
      <c r="P103" s="240">
        <v>0</v>
      </c>
      <c r="Q103" s="233"/>
      <c r="R103" s="233"/>
      <c r="S103" s="233"/>
      <c r="T103" s="25">
        <f t="shared" ref="T103:T110" si="24">L103+H103</f>
        <v>0</v>
      </c>
      <c r="U103" s="138"/>
      <c r="V103" s="138"/>
      <c r="W103" s="138"/>
      <c r="X103" s="27"/>
      <c r="Y103" s="27"/>
      <c r="Z103" s="328"/>
    </row>
    <row r="104" spans="1:26">
      <c r="A104" s="316"/>
      <c r="B104" s="42" t="s">
        <v>37</v>
      </c>
      <c r="C104" s="331"/>
      <c r="D104" s="328"/>
      <c r="E104" s="301"/>
      <c r="F104" s="325"/>
      <c r="G104" s="145">
        <v>0</v>
      </c>
      <c r="H104" s="27"/>
      <c r="I104" s="27"/>
      <c r="J104" s="27"/>
      <c r="K104" s="27"/>
      <c r="L104" s="145">
        <v>0</v>
      </c>
      <c r="M104" s="138"/>
      <c r="N104" s="138"/>
      <c r="O104" s="138"/>
      <c r="P104" s="239">
        <v>0</v>
      </c>
      <c r="Q104" s="233"/>
      <c r="R104" s="233"/>
      <c r="S104" s="233"/>
      <c r="T104" s="25">
        <f t="shared" si="24"/>
        <v>0</v>
      </c>
      <c r="U104" s="138"/>
      <c r="V104" s="138"/>
      <c r="W104" s="138"/>
      <c r="X104" s="27"/>
      <c r="Y104" s="27"/>
      <c r="Z104" s="328"/>
    </row>
    <row r="105" spans="1:26">
      <c r="A105" s="316"/>
      <c r="B105" s="22" t="s">
        <v>28</v>
      </c>
      <c r="C105" s="331"/>
      <c r="D105" s="328"/>
      <c r="E105" s="301"/>
      <c r="F105" s="325"/>
      <c r="G105" s="144">
        <v>0</v>
      </c>
      <c r="H105" s="27"/>
      <c r="I105" s="27"/>
      <c r="J105" s="27"/>
      <c r="K105" s="27"/>
      <c r="L105" s="144">
        <v>0</v>
      </c>
      <c r="M105" s="138"/>
      <c r="N105" s="138"/>
      <c r="O105" s="138"/>
      <c r="P105" s="240">
        <v>0</v>
      </c>
      <c r="Q105" s="233"/>
      <c r="R105" s="233"/>
      <c r="S105" s="233"/>
      <c r="T105" s="25">
        <f t="shared" si="24"/>
        <v>0</v>
      </c>
      <c r="U105" s="138"/>
      <c r="V105" s="138"/>
      <c r="W105" s="138"/>
      <c r="X105" s="27"/>
      <c r="Y105" s="27"/>
      <c r="Z105" s="328"/>
    </row>
    <row r="106" spans="1:26">
      <c r="A106" s="316"/>
      <c r="B106" s="42" t="s">
        <v>39</v>
      </c>
      <c r="C106" s="310"/>
      <c r="D106" s="301"/>
      <c r="E106" s="301"/>
      <c r="F106" s="326"/>
      <c r="G106" s="145">
        <v>0</v>
      </c>
      <c r="H106" s="19"/>
      <c r="I106" s="19"/>
      <c r="J106" s="19"/>
      <c r="K106" s="19"/>
      <c r="L106" s="145">
        <v>0</v>
      </c>
      <c r="M106" s="144"/>
      <c r="N106" s="144"/>
      <c r="O106" s="144"/>
      <c r="P106" s="239">
        <v>0</v>
      </c>
      <c r="Q106" s="240"/>
      <c r="R106" s="240"/>
      <c r="S106" s="240"/>
      <c r="T106" s="25">
        <f t="shared" si="24"/>
        <v>0</v>
      </c>
      <c r="U106" s="144"/>
      <c r="V106" s="144"/>
      <c r="W106" s="144"/>
      <c r="X106" s="19"/>
      <c r="Y106" s="19"/>
      <c r="Z106" s="301"/>
    </row>
    <row r="107" spans="1:26">
      <c r="A107" s="316"/>
      <c r="B107" s="39" t="s">
        <v>30</v>
      </c>
      <c r="C107" s="310"/>
      <c r="D107" s="301"/>
      <c r="E107" s="301"/>
      <c r="F107" s="326"/>
      <c r="G107" s="145">
        <v>0</v>
      </c>
      <c r="H107" s="19"/>
      <c r="I107" s="19"/>
      <c r="J107" s="19"/>
      <c r="K107" s="19"/>
      <c r="L107" s="145">
        <v>0</v>
      </c>
      <c r="M107" s="144"/>
      <c r="N107" s="144"/>
      <c r="O107" s="144"/>
      <c r="P107" s="239">
        <v>0</v>
      </c>
      <c r="Q107" s="240"/>
      <c r="R107" s="240"/>
      <c r="S107" s="240"/>
      <c r="T107" s="25">
        <f t="shared" si="24"/>
        <v>0</v>
      </c>
      <c r="U107" s="144"/>
      <c r="V107" s="144"/>
      <c r="W107" s="144"/>
      <c r="X107" s="19"/>
      <c r="Y107" s="19"/>
      <c r="Z107" s="301"/>
    </row>
    <row r="108" spans="1:26">
      <c r="A108" s="316"/>
      <c r="B108" s="39" t="s">
        <v>31</v>
      </c>
      <c r="C108" s="310"/>
      <c r="D108" s="301"/>
      <c r="E108" s="301"/>
      <c r="F108" s="326"/>
      <c r="G108" s="145">
        <v>0</v>
      </c>
      <c r="H108" s="19"/>
      <c r="I108" s="19"/>
      <c r="J108" s="19"/>
      <c r="K108" s="19"/>
      <c r="L108" s="145">
        <v>0</v>
      </c>
      <c r="M108" s="144"/>
      <c r="N108" s="144"/>
      <c r="O108" s="144"/>
      <c r="P108" s="239">
        <v>0</v>
      </c>
      <c r="Q108" s="240"/>
      <c r="R108" s="240"/>
      <c r="S108" s="240"/>
      <c r="T108" s="25">
        <f t="shared" si="24"/>
        <v>0</v>
      </c>
      <c r="U108" s="144"/>
      <c r="V108" s="144"/>
      <c r="W108" s="144"/>
      <c r="X108" s="19"/>
      <c r="Y108" s="19"/>
      <c r="Z108" s="301"/>
    </row>
    <row r="109" spans="1:26">
      <c r="A109" s="316"/>
      <c r="B109" s="22" t="s">
        <v>35</v>
      </c>
      <c r="C109" s="310"/>
      <c r="D109" s="301"/>
      <c r="E109" s="301"/>
      <c r="F109" s="326"/>
      <c r="G109" s="144">
        <v>0</v>
      </c>
      <c r="H109" s="19"/>
      <c r="I109" s="19"/>
      <c r="J109" s="19"/>
      <c r="K109" s="19"/>
      <c r="L109" s="144">
        <v>0</v>
      </c>
      <c r="M109" s="144"/>
      <c r="N109" s="144"/>
      <c r="O109" s="144"/>
      <c r="P109" s="240">
        <v>0</v>
      </c>
      <c r="Q109" s="240"/>
      <c r="R109" s="240"/>
      <c r="S109" s="240"/>
      <c r="T109" s="25">
        <f t="shared" si="24"/>
        <v>0</v>
      </c>
      <c r="U109" s="144"/>
      <c r="V109" s="144"/>
      <c r="W109" s="144"/>
      <c r="X109" s="19"/>
      <c r="Y109" s="19"/>
      <c r="Z109" s="301"/>
    </row>
    <row r="110" spans="1:26">
      <c r="A110" s="317"/>
      <c r="B110" s="22" t="s">
        <v>36</v>
      </c>
      <c r="C110" s="311"/>
      <c r="D110" s="289"/>
      <c r="E110" s="289"/>
      <c r="F110" s="286"/>
      <c r="G110" s="144">
        <v>0</v>
      </c>
      <c r="H110" s="19"/>
      <c r="I110" s="19"/>
      <c r="J110" s="19"/>
      <c r="K110" s="19"/>
      <c r="L110" s="144">
        <v>0</v>
      </c>
      <c r="M110" s="144"/>
      <c r="N110" s="144"/>
      <c r="O110" s="144"/>
      <c r="P110" s="240">
        <v>0</v>
      </c>
      <c r="Q110" s="240"/>
      <c r="R110" s="240"/>
      <c r="S110" s="240"/>
      <c r="T110" s="25">
        <f t="shared" si="24"/>
        <v>0</v>
      </c>
      <c r="U110" s="144"/>
      <c r="V110" s="144"/>
      <c r="W110" s="144"/>
      <c r="X110" s="19"/>
      <c r="Y110" s="19"/>
      <c r="Z110" s="289"/>
    </row>
    <row r="111" spans="1:26" ht="27" customHeight="1">
      <c r="A111" s="315" t="s">
        <v>65</v>
      </c>
      <c r="B111" s="15" t="s">
        <v>91</v>
      </c>
      <c r="C111" s="330" t="s">
        <v>41</v>
      </c>
      <c r="D111" s="327" t="s">
        <v>9</v>
      </c>
      <c r="E111" s="300">
        <v>8.5</v>
      </c>
      <c r="F111" s="324" t="s">
        <v>17</v>
      </c>
      <c r="G111" s="24">
        <f>G112+G114+G116+G120+G121</f>
        <v>174813.6</v>
      </c>
      <c r="H111" s="25"/>
      <c r="I111" s="25"/>
      <c r="J111" s="25"/>
      <c r="K111" s="25"/>
      <c r="L111" s="24">
        <f>L112+L114+L116+L120+L121</f>
        <v>10678</v>
      </c>
      <c r="M111" s="25"/>
      <c r="N111" s="25"/>
      <c r="O111" s="25"/>
      <c r="P111" s="24">
        <f>P112+P114+P116+P120+P121</f>
        <v>164135.6</v>
      </c>
      <c r="Q111" s="25"/>
      <c r="R111" s="25"/>
      <c r="S111" s="25"/>
      <c r="T111" s="25">
        <f>L111+H111+P111</f>
        <v>174813.6</v>
      </c>
      <c r="U111" s="25"/>
      <c r="V111" s="25"/>
      <c r="W111" s="25"/>
      <c r="X111" s="25"/>
      <c r="Y111" s="25"/>
      <c r="Z111" s="329"/>
    </row>
    <row r="112" spans="1:26">
      <c r="A112" s="316"/>
      <c r="B112" s="21" t="s">
        <v>122</v>
      </c>
      <c r="C112" s="331"/>
      <c r="D112" s="328"/>
      <c r="E112" s="301"/>
      <c r="F112" s="325"/>
      <c r="G112" s="285">
        <v>174813.6</v>
      </c>
      <c r="H112" s="285"/>
      <c r="I112" s="26"/>
      <c r="J112" s="26"/>
      <c r="K112" s="26"/>
      <c r="L112" s="285">
        <v>10678</v>
      </c>
      <c r="M112" s="137"/>
      <c r="N112" s="137"/>
      <c r="O112" s="137"/>
      <c r="P112" s="285">
        <v>164135.6</v>
      </c>
      <c r="Q112" s="231"/>
      <c r="R112" s="231"/>
      <c r="S112" s="231"/>
      <c r="T112" s="288">
        <f t="shared" ref="T112" si="25">L112+H112+P112</f>
        <v>174813.6</v>
      </c>
      <c r="U112" s="137"/>
      <c r="V112" s="137"/>
      <c r="W112" s="137"/>
      <c r="X112" s="285">
        <v>10678</v>
      </c>
      <c r="Y112" s="285">
        <v>164135.6</v>
      </c>
      <c r="Z112" s="328"/>
    </row>
    <row r="113" spans="1:26">
      <c r="A113" s="316"/>
      <c r="B113" s="62" t="s">
        <v>103</v>
      </c>
      <c r="C113" s="331"/>
      <c r="D113" s="328"/>
      <c r="E113" s="301"/>
      <c r="F113" s="325"/>
      <c r="G113" s="286"/>
      <c r="H113" s="287"/>
      <c r="I113" s="27"/>
      <c r="J113" s="27"/>
      <c r="K113" s="27"/>
      <c r="L113" s="286"/>
      <c r="M113" s="138"/>
      <c r="N113" s="138"/>
      <c r="O113" s="138"/>
      <c r="P113" s="286"/>
      <c r="Q113" s="233"/>
      <c r="R113" s="233"/>
      <c r="S113" s="233"/>
      <c r="T113" s="289"/>
      <c r="U113" s="138"/>
      <c r="V113" s="138"/>
      <c r="W113" s="138"/>
      <c r="X113" s="287"/>
      <c r="Y113" s="287"/>
      <c r="Z113" s="328"/>
    </row>
    <row r="114" spans="1:26">
      <c r="A114" s="316"/>
      <c r="B114" s="22" t="s">
        <v>27</v>
      </c>
      <c r="C114" s="331"/>
      <c r="D114" s="328"/>
      <c r="E114" s="301"/>
      <c r="F114" s="325"/>
      <c r="G114" s="144">
        <v>0</v>
      </c>
      <c r="H114" s="27"/>
      <c r="I114" s="27"/>
      <c r="J114" s="27"/>
      <c r="K114" s="27"/>
      <c r="L114" s="144">
        <v>0</v>
      </c>
      <c r="M114" s="138"/>
      <c r="N114" s="138"/>
      <c r="O114" s="138"/>
      <c r="P114" s="240">
        <v>0</v>
      </c>
      <c r="Q114" s="233"/>
      <c r="R114" s="233"/>
      <c r="S114" s="233"/>
      <c r="T114" s="25">
        <f t="shared" ref="T114:T143" si="26">L114+H114</f>
        <v>0</v>
      </c>
      <c r="U114" s="138"/>
      <c r="V114" s="138"/>
      <c r="W114" s="138"/>
      <c r="X114" s="27"/>
      <c r="Y114" s="27"/>
      <c r="Z114" s="328"/>
    </row>
    <row r="115" spans="1:26">
      <c r="A115" s="316"/>
      <c r="B115" s="42" t="s">
        <v>37</v>
      </c>
      <c r="C115" s="331"/>
      <c r="D115" s="328"/>
      <c r="E115" s="301"/>
      <c r="F115" s="325"/>
      <c r="G115" s="145">
        <v>0</v>
      </c>
      <c r="H115" s="27"/>
      <c r="I115" s="27"/>
      <c r="J115" s="27"/>
      <c r="K115" s="27"/>
      <c r="L115" s="145">
        <v>0</v>
      </c>
      <c r="M115" s="138"/>
      <c r="N115" s="138"/>
      <c r="O115" s="138"/>
      <c r="P115" s="239">
        <v>0</v>
      </c>
      <c r="Q115" s="233"/>
      <c r="R115" s="233"/>
      <c r="S115" s="233"/>
      <c r="T115" s="25">
        <f t="shared" si="26"/>
        <v>0</v>
      </c>
      <c r="U115" s="138"/>
      <c r="V115" s="138"/>
      <c r="W115" s="138"/>
      <c r="X115" s="27"/>
      <c r="Y115" s="27"/>
      <c r="Z115" s="328"/>
    </row>
    <row r="116" spans="1:26">
      <c r="A116" s="316"/>
      <c r="B116" s="22" t="s">
        <v>28</v>
      </c>
      <c r="C116" s="331"/>
      <c r="D116" s="328"/>
      <c r="E116" s="301"/>
      <c r="F116" s="325"/>
      <c r="G116" s="144">
        <v>0</v>
      </c>
      <c r="H116" s="27"/>
      <c r="I116" s="27"/>
      <c r="J116" s="27"/>
      <c r="K116" s="27"/>
      <c r="L116" s="144">
        <v>0</v>
      </c>
      <c r="M116" s="138"/>
      <c r="N116" s="138"/>
      <c r="O116" s="138"/>
      <c r="P116" s="240">
        <v>0</v>
      </c>
      <c r="Q116" s="233"/>
      <c r="R116" s="233"/>
      <c r="S116" s="233"/>
      <c r="T116" s="25">
        <f t="shared" si="26"/>
        <v>0</v>
      </c>
      <c r="U116" s="138"/>
      <c r="V116" s="138"/>
      <c r="W116" s="138"/>
      <c r="X116" s="27"/>
      <c r="Y116" s="27"/>
      <c r="Z116" s="328"/>
    </row>
    <row r="117" spans="1:26">
      <c r="A117" s="316"/>
      <c r="B117" s="42" t="s">
        <v>39</v>
      </c>
      <c r="C117" s="310"/>
      <c r="D117" s="301"/>
      <c r="E117" s="301"/>
      <c r="F117" s="326"/>
      <c r="G117" s="145">
        <v>0</v>
      </c>
      <c r="H117" s="19"/>
      <c r="I117" s="19"/>
      <c r="J117" s="19"/>
      <c r="K117" s="19"/>
      <c r="L117" s="145">
        <v>0</v>
      </c>
      <c r="M117" s="144"/>
      <c r="N117" s="144"/>
      <c r="O117" s="144"/>
      <c r="P117" s="239">
        <v>0</v>
      </c>
      <c r="Q117" s="240"/>
      <c r="R117" s="240"/>
      <c r="S117" s="240"/>
      <c r="T117" s="25">
        <f t="shared" si="26"/>
        <v>0</v>
      </c>
      <c r="U117" s="144"/>
      <c r="V117" s="144"/>
      <c r="W117" s="144"/>
      <c r="X117" s="19"/>
      <c r="Y117" s="19"/>
      <c r="Z117" s="301"/>
    </row>
    <row r="118" spans="1:26">
      <c r="A118" s="316"/>
      <c r="B118" s="39" t="s">
        <v>30</v>
      </c>
      <c r="C118" s="310"/>
      <c r="D118" s="301"/>
      <c r="E118" s="301"/>
      <c r="F118" s="326"/>
      <c r="G118" s="145">
        <v>0</v>
      </c>
      <c r="H118" s="19"/>
      <c r="I118" s="19"/>
      <c r="J118" s="19"/>
      <c r="K118" s="19"/>
      <c r="L118" s="145">
        <v>0</v>
      </c>
      <c r="M118" s="144"/>
      <c r="N118" s="144"/>
      <c r="O118" s="144"/>
      <c r="P118" s="239">
        <v>0</v>
      </c>
      <c r="Q118" s="240"/>
      <c r="R118" s="240"/>
      <c r="S118" s="240"/>
      <c r="T118" s="25">
        <f t="shared" si="26"/>
        <v>0</v>
      </c>
      <c r="U118" s="144"/>
      <c r="V118" s="144"/>
      <c r="W118" s="144"/>
      <c r="X118" s="19"/>
      <c r="Y118" s="19"/>
      <c r="Z118" s="301"/>
    </row>
    <row r="119" spans="1:26">
      <c r="A119" s="316"/>
      <c r="B119" s="39" t="s">
        <v>31</v>
      </c>
      <c r="C119" s="310"/>
      <c r="D119" s="301"/>
      <c r="E119" s="301"/>
      <c r="F119" s="326"/>
      <c r="G119" s="145">
        <v>0</v>
      </c>
      <c r="H119" s="19"/>
      <c r="I119" s="19"/>
      <c r="J119" s="19"/>
      <c r="K119" s="19"/>
      <c r="L119" s="145">
        <v>0</v>
      </c>
      <c r="M119" s="144"/>
      <c r="N119" s="144"/>
      <c r="O119" s="144"/>
      <c r="P119" s="239">
        <v>0</v>
      </c>
      <c r="Q119" s="240"/>
      <c r="R119" s="240"/>
      <c r="S119" s="240"/>
      <c r="T119" s="25">
        <f t="shared" si="26"/>
        <v>0</v>
      </c>
      <c r="U119" s="144"/>
      <c r="V119" s="144"/>
      <c r="W119" s="144"/>
      <c r="X119" s="19"/>
      <c r="Y119" s="19"/>
      <c r="Z119" s="301"/>
    </row>
    <row r="120" spans="1:26">
      <c r="A120" s="316"/>
      <c r="B120" s="22" t="s">
        <v>35</v>
      </c>
      <c r="C120" s="310"/>
      <c r="D120" s="301"/>
      <c r="E120" s="301"/>
      <c r="F120" s="326"/>
      <c r="G120" s="144">
        <v>0</v>
      </c>
      <c r="H120" s="19"/>
      <c r="I120" s="19"/>
      <c r="J120" s="19"/>
      <c r="K120" s="19"/>
      <c r="L120" s="144">
        <v>0</v>
      </c>
      <c r="M120" s="144"/>
      <c r="N120" s="144"/>
      <c r="O120" s="144"/>
      <c r="P120" s="240">
        <v>0</v>
      </c>
      <c r="Q120" s="240"/>
      <c r="R120" s="240"/>
      <c r="S120" s="240"/>
      <c r="T120" s="25">
        <f t="shared" si="26"/>
        <v>0</v>
      </c>
      <c r="U120" s="144"/>
      <c r="V120" s="144"/>
      <c r="W120" s="144"/>
      <c r="X120" s="19"/>
      <c r="Y120" s="19"/>
      <c r="Z120" s="301"/>
    </row>
    <row r="121" spans="1:26">
      <c r="A121" s="317"/>
      <c r="B121" s="22" t="s">
        <v>36</v>
      </c>
      <c r="C121" s="311"/>
      <c r="D121" s="289"/>
      <c r="E121" s="289"/>
      <c r="F121" s="286"/>
      <c r="G121" s="144">
        <v>0</v>
      </c>
      <c r="H121" s="19"/>
      <c r="I121" s="19"/>
      <c r="J121" s="19"/>
      <c r="K121" s="19"/>
      <c r="L121" s="144">
        <v>0</v>
      </c>
      <c r="M121" s="144"/>
      <c r="N121" s="144"/>
      <c r="O121" s="144"/>
      <c r="P121" s="240">
        <v>0</v>
      </c>
      <c r="Q121" s="240"/>
      <c r="R121" s="240"/>
      <c r="S121" s="240"/>
      <c r="T121" s="25">
        <f t="shared" si="26"/>
        <v>0</v>
      </c>
      <c r="U121" s="144"/>
      <c r="V121" s="144"/>
      <c r="W121" s="144"/>
      <c r="X121" s="19"/>
      <c r="Y121" s="19"/>
      <c r="Z121" s="289"/>
    </row>
    <row r="122" spans="1:26" hidden="1">
      <c r="A122" s="315" t="s">
        <v>82</v>
      </c>
      <c r="B122" s="15"/>
      <c r="C122" s="330" t="s">
        <v>41</v>
      </c>
      <c r="D122" s="327" t="s">
        <v>9</v>
      </c>
      <c r="E122" s="300"/>
      <c r="F122" s="324"/>
      <c r="G122" s="24">
        <f>G123+G125+G127+G131+G132</f>
        <v>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>
        <f t="shared" si="26"/>
        <v>0</v>
      </c>
      <c r="U122" s="25"/>
      <c r="V122" s="25"/>
      <c r="W122" s="25"/>
      <c r="X122" s="25"/>
      <c r="Y122" s="25"/>
      <c r="Z122" s="329"/>
    </row>
    <row r="123" spans="1:26" hidden="1">
      <c r="A123" s="316"/>
      <c r="B123" s="21" t="s">
        <v>123</v>
      </c>
      <c r="C123" s="331"/>
      <c r="D123" s="328"/>
      <c r="E123" s="301"/>
      <c r="F123" s="325"/>
      <c r="G123" s="285">
        <f>SUM(H123:Y123)</f>
        <v>0</v>
      </c>
      <c r="H123" s="285"/>
      <c r="I123" s="26"/>
      <c r="J123" s="26"/>
      <c r="K123" s="26"/>
      <c r="L123" s="137"/>
      <c r="M123" s="137"/>
      <c r="N123" s="137"/>
      <c r="O123" s="137"/>
      <c r="P123" s="231"/>
      <c r="Q123" s="231"/>
      <c r="R123" s="231"/>
      <c r="S123" s="231"/>
      <c r="T123" s="25">
        <f t="shared" si="26"/>
        <v>0</v>
      </c>
      <c r="U123" s="137"/>
      <c r="V123" s="137"/>
      <c r="W123" s="137"/>
      <c r="X123" s="285"/>
      <c r="Y123" s="285"/>
      <c r="Z123" s="328"/>
    </row>
    <row r="124" spans="1:26" hidden="1">
      <c r="A124" s="316"/>
      <c r="B124" s="62" t="s">
        <v>103</v>
      </c>
      <c r="C124" s="331"/>
      <c r="D124" s="328"/>
      <c r="E124" s="301"/>
      <c r="F124" s="325"/>
      <c r="G124" s="286"/>
      <c r="H124" s="287"/>
      <c r="I124" s="27"/>
      <c r="J124" s="27"/>
      <c r="K124" s="27"/>
      <c r="L124" s="138"/>
      <c r="M124" s="138"/>
      <c r="N124" s="138"/>
      <c r="O124" s="138"/>
      <c r="P124" s="233"/>
      <c r="Q124" s="233"/>
      <c r="R124" s="233"/>
      <c r="S124" s="233"/>
      <c r="T124" s="25">
        <f t="shared" si="26"/>
        <v>0</v>
      </c>
      <c r="U124" s="138"/>
      <c r="V124" s="138"/>
      <c r="W124" s="138"/>
      <c r="X124" s="287"/>
      <c r="Y124" s="287"/>
      <c r="Z124" s="328"/>
    </row>
    <row r="125" spans="1:26" hidden="1">
      <c r="A125" s="316"/>
      <c r="B125" s="22" t="s">
        <v>27</v>
      </c>
      <c r="C125" s="331"/>
      <c r="D125" s="328"/>
      <c r="E125" s="301"/>
      <c r="F125" s="325"/>
      <c r="G125" s="19">
        <f>SUM(G126)</f>
        <v>0</v>
      </c>
      <c r="H125" s="27"/>
      <c r="I125" s="27"/>
      <c r="J125" s="27"/>
      <c r="K125" s="27"/>
      <c r="L125" s="138"/>
      <c r="M125" s="138"/>
      <c r="N125" s="138"/>
      <c r="O125" s="138"/>
      <c r="P125" s="233"/>
      <c r="Q125" s="233"/>
      <c r="R125" s="233"/>
      <c r="S125" s="233"/>
      <c r="T125" s="25">
        <f t="shared" si="26"/>
        <v>0</v>
      </c>
      <c r="U125" s="138"/>
      <c r="V125" s="138"/>
      <c r="W125" s="138"/>
      <c r="X125" s="27"/>
      <c r="Y125" s="27"/>
      <c r="Z125" s="328"/>
    </row>
    <row r="126" spans="1:26" hidden="1">
      <c r="A126" s="316"/>
      <c r="B126" s="42" t="s">
        <v>37</v>
      </c>
      <c r="C126" s="331"/>
      <c r="D126" s="328"/>
      <c r="E126" s="301"/>
      <c r="F126" s="325"/>
      <c r="G126" s="46">
        <f>SUM(H126:Y126)</f>
        <v>0</v>
      </c>
      <c r="H126" s="27"/>
      <c r="I126" s="27"/>
      <c r="J126" s="27"/>
      <c r="K126" s="27"/>
      <c r="L126" s="138"/>
      <c r="M126" s="138"/>
      <c r="N126" s="138"/>
      <c r="O126" s="138"/>
      <c r="P126" s="233"/>
      <c r="Q126" s="233"/>
      <c r="R126" s="233"/>
      <c r="S126" s="233"/>
      <c r="T126" s="25">
        <f t="shared" si="26"/>
        <v>0</v>
      </c>
      <c r="U126" s="138"/>
      <c r="V126" s="138"/>
      <c r="W126" s="138"/>
      <c r="X126" s="27"/>
      <c r="Y126" s="27"/>
      <c r="Z126" s="328"/>
    </row>
    <row r="127" spans="1:26" hidden="1">
      <c r="A127" s="316"/>
      <c r="B127" s="22" t="s">
        <v>28</v>
      </c>
      <c r="C127" s="331"/>
      <c r="D127" s="328"/>
      <c r="E127" s="301"/>
      <c r="F127" s="325"/>
      <c r="G127" s="19">
        <f>SUM(G128:G130)</f>
        <v>0</v>
      </c>
      <c r="H127" s="27"/>
      <c r="I127" s="27"/>
      <c r="J127" s="27"/>
      <c r="K127" s="27"/>
      <c r="L127" s="138"/>
      <c r="M127" s="138"/>
      <c r="N127" s="138"/>
      <c r="O127" s="138"/>
      <c r="P127" s="233"/>
      <c r="Q127" s="233"/>
      <c r="R127" s="233"/>
      <c r="S127" s="233"/>
      <c r="T127" s="25">
        <f t="shared" si="26"/>
        <v>0</v>
      </c>
      <c r="U127" s="138"/>
      <c r="V127" s="138"/>
      <c r="W127" s="138"/>
      <c r="X127" s="27"/>
      <c r="Y127" s="27"/>
      <c r="Z127" s="328"/>
    </row>
    <row r="128" spans="1:26" hidden="1">
      <c r="A128" s="316"/>
      <c r="B128" s="42" t="s">
        <v>39</v>
      </c>
      <c r="C128" s="310"/>
      <c r="D128" s="301"/>
      <c r="E128" s="301"/>
      <c r="F128" s="326"/>
      <c r="G128" s="46">
        <f>SUM(H128:Y128)</f>
        <v>0</v>
      </c>
      <c r="H128" s="19"/>
      <c r="I128" s="19"/>
      <c r="J128" s="19"/>
      <c r="K128" s="19"/>
      <c r="L128" s="144"/>
      <c r="M128" s="144"/>
      <c r="N128" s="144"/>
      <c r="O128" s="144"/>
      <c r="P128" s="240"/>
      <c r="Q128" s="240"/>
      <c r="R128" s="240"/>
      <c r="S128" s="240"/>
      <c r="T128" s="25">
        <f t="shared" si="26"/>
        <v>0</v>
      </c>
      <c r="U128" s="144"/>
      <c r="V128" s="144"/>
      <c r="W128" s="144"/>
      <c r="X128" s="19"/>
      <c r="Y128" s="19"/>
      <c r="Z128" s="301"/>
    </row>
    <row r="129" spans="1:26" hidden="1">
      <c r="A129" s="316"/>
      <c r="B129" s="39" t="s">
        <v>30</v>
      </c>
      <c r="C129" s="310"/>
      <c r="D129" s="301"/>
      <c r="E129" s="301"/>
      <c r="F129" s="326"/>
      <c r="G129" s="46">
        <f>SUM(H129:Y129)</f>
        <v>0</v>
      </c>
      <c r="H129" s="19"/>
      <c r="I129" s="19"/>
      <c r="J129" s="19"/>
      <c r="K129" s="19"/>
      <c r="L129" s="144"/>
      <c r="M129" s="144"/>
      <c r="N129" s="144"/>
      <c r="O129" s="144"/>
      <c r="P129" s="240"/>
      <c r="Q129" s="240"/>
      <c r="R129" s="240"/>
      <c r="S129" s="240"/>
      <c r="T129" s="25">
        <f t="shared" si="26"/>
        <v>0</v>
      </c>
      <c r="U129" s="144"/>
      <c r="V129" s="144"/>
      <c r="W129" s="144"/>
      <c r="X129" s="19"/>
      <c r="Y129" s="19"/>
      <c r="Z129" s="301"/>
    </row>
    <row r="130" spans="1:26" hidden="1">
      <c r="A130" s="316"/>
      <c r="B130" s="39" t="s">
        <v>31</v>
      </c>
      <c r="C130" s="310"/>
      <c r="D130" s="301"/>
      <c r="E130" s="301"/>
      <c r="F130" s="326"/>
      <c r="G130" s="46">
        <f>SUM(H130:Y130)</f>
        <v>0</v>
      </c>
      <c r="H130" s="19"/>
      <c r="I130" s="19"/>
      <c r="J130" s="19"/>
      <c r="K130" s="19"/>
      <c r="L130" s="144"/>
      <c r="M130" s="144"/>
      <c r="N130" s="144"/>
      <c r="O130" s="144"/>
      <c r="P130" s="240"/>
      <c r="Q130" s="240"/>
      <c r="R130" s="240"/>
      <c r="S130" s="240"/>
      <c r="T130" s="25">
        <f t="shared" si="26"/>
        <v>0</v>
      </c>
      <c r="U130" s="144"/>
      <c r="V130" s="144"/>
      <c r="W130" s="144"/>
      <c r="X130" s="19"/>
      <c r="Y130" s="19"/>
      <c r="Z130" s="301"/>
    </row>
    <row r="131" spans="1:26" hidden="1">
      <c r="A131" s="316"/>
      <c r="B131" s="22" t="s">
        <v>35</v>
      </c>
      <c r="C131" s="310"/>
      <c r="D131" s="301"/>
      <c r="E131" s="301"/>
      <c r="F131" s="326"/>
      <c r="G131" s="19">
        <f>SUM(H131:Y131)</f>
        <v>0</v>
      </c>
      <c r="H131" s="19"/>
      <c r="I131" s="19"/>
      <c r="J131" s="19"/>
      <c r="K131" s="19"/>
      <c r="L131" s="144"/>
      <c r="M131" s="144"/>
      <c r="N131" s="144"/>
      <c r="O131" s="144"/>
      <c r="P131" s="240"/>
      <c r="Q131" s="240"/>
      <c r="R131" s="240"/>
      <c r="S131" s="240"/>
      <c r="T131" s="25">
        <f t="shared" si="26"/>
        <v>0</v>
      </c>
      <c r="U131" s="144"/>
      <c r="V131" s="144"/>
      <c r="W131" s="144"/>
      <c r="X131" s="19"/>
      <c r="Y131" s="19"/>
      <c r="Z131" s="301"/>
    </row>
    <row r="132" spans="1:26" hidden="1">
      <c r="A132" s="317"/>
      <c r="B132" s="22" t="s">
        <v>36</v>
      </c>
      <c r="C132" s="311"/>
      <c r="D132" s="289"/>
      <c r="E132" s="289"/>
      <c r="F132" s="286"/>
      <c r="G132" s="19">
        <f>SUM(H132:Y132)</f>
        <v>0</v>
      </c>
      <c r="H132" s="19"/>
      <c r="I132" s="19"/>
      <c r="J132" s="19"/>
      <c r="K132" s="19"/>
      <c r="L132" s="144"/>
      <c r="M132" s="144"/>
      <c r="N132" s="144"/>
      <c r="O132" s="144"/>
      <c r="P132" s="240"/>
      <c r="Q132" s="240"/>
      <c r="R132" s="240"/>
      <c r="S132" s="240"/>
      <c r="T132" s="25">
        <f t="shared" si="26"/>
        <v>0</v>
      </c>
      <c r="U132" s="144"/>
      <c r="V132" s="144"/>
      <c r="W132" s="144"/>
      <c r="X132" s="19"/>
      <c r="Y132" s="19"/>
      <c r="Z132" s="289"/>
    </row>
    <row r="133" spans="1:26" ht="38.25">
      <c r="A133" s="315" t="s">
        <v>82</v>
      </c>
      <c r="B133" s="15" t="s">
        <v>24</v>
      </c>
      <c r="C133" s="330" t="s">
        <v>41</v>
      </c>
      <c r="D133" s="327" t="s">
        <v>6</v>
      </c>
      <c r="E133" s="300">
        <v>60</v>
      </c>
      <c r="F133" s="324" t="s">
        <v>16</v>
      </c>
      <c r="G133" s="24">
        <f>G134+G136+G138+G142+G143</f>
        <v>4829.5</v>
      </c>
      <c r="H133" s="25"/>
      <c r="I133" s="25"/>
      <c r="J133" s="25"/>
      <c r="K133" s="25"/>
      <c r="L133" s="24">
        <f>L134+L136+L138+L142+L143</f>
        <v>4829.5</v>
      </c>
      <c r="M133" s="25"/>
      <c r="N133" s="25"/>
      <c r="O133" s="25"/>
      <c r="P133" s="24">
        <f>P134+P136+P138+P142+P143</f>
        <v>0</v>
      </c>
      <c r="Q133" s="25"/>
      <c r="R133" s="25"/>
      <c r="S133" s="25"/>
      <c r="T133" s="25">
        <f t="shared" si="26"/>
        <v>4829.5</v>
      </c>
      <c r="U133" s="25"/>
      <c r="V133" s="25"/>
      <c r="W133" s="25"/>
      <c r="X133" s="25"/>
      <c r="Y133" s="25"/>
      <c r="Z133" s="57"/>
    </row>
    <row r="134" spans="1:26">
      <c r="A134" s="316"/>
      <c r="B134" s="21" t="s">
        <v>123</v>
      </c>
      <c r="C134" s="331"/>
      <c r="D134" s="328"/>
      <c r="E134" s="301"/>
      <c r="F134" s="325"/>
      <c r="G134" s="285">
        <v>4829.5</v>
      </c>
      <c r="H134" s="285"/>
      <c r="I134" s="26"/>
      <c r="J134" s="26"/>
      <c r="K134" s="26"/>
      <c r="L134" s="285">
        <v>4829.5</v>
      </c>
      <c r="M134" s="137"/>
      <c r="N134" s="137"/>
      <c r="O134" s="137"/>
      <c r="P134" s="285">
        <v>0</v>
      </c>
      <c r="Q134" s="231"/>
      <c r="R134" s="231"/>
      <c r="S134" s="231"/>
      <c r="T134" s="285">
        <f t="shared" si="26"/>
        <v>4829.5</v>
      </c>
      <c r="U134" s="137"/>
      <c r="V134" s="137"/>
      <c r="W134" s="137"/>
      <c r="X134" s="285">
        <v>4829.5</v>
      </c>
      <c r="Y134" s="285"/>
      <c r="Z134" s="57"/>
    </row>
    <row r="135" spans="1:26">
      <c r="A135" s="316"/>
      <c r="B135" s="62" t="s">
        <v>103</v>
      </c>
      <c r="C135" s="331"/>
      <c r="D135" s="328"/>
      <c r="E135" s="301"/>
      <c r="F135" s="325"/>
      <c r="G135" s="286"/>
      <c r="H135" s="287"/>
      <c r="I135" s="27"/>
      <c r="J135" s="27"/>
      <c r="K135" s="27"/>
      <c r="L135" s="286"/>
      <c r="M135" s="138"/>
      <c r="N135" s="138"/>
      <c r="O135" s="138"/>
      <c r="P135" s="286"/>
      <c r="Q135" s="233"/>
      <c r="R135" s="233"/>
      <c r="S135" s="233"/>
      <c r="T135" s="286">
        <f t="shared" si="26"/>
        <v>0</v>
      </c>
      <c r="U135" s="138"/>
      <c r="V135" s="138"/>
      <c r="W135" s="138"/>
      <c r="X135" s="287"/>
      <c r="Y135" s="287"/>
      <c r="Z135" s="57"/>
    </row>
    <row r="136" spans="1:26">
      <c r="A136" s="301"/>
      <c r="B136" s="22" t="s">
        <v>27</v>
      </c>
      <c r="C136" s="331"/>
      <c r="D136" s="328"/>
      <c r="E136" s="301"/>
      <c r="F136" s="325"/>
      <c r="G136" s="144">
        <v>0</v>
      </c>
      <c r="H136" s="27"/>
      <c r="I136" s="27"/>
      <c r="J136" s="27"/>
      <c r="K136" s="27"/>
      <c r="L136" s="144">
        <v>0</v>
      </c>
      <c r="M136" s="138"/>
      <c r="N136" s="138"/>
      <c r="O136" s="138"/>
      <c r="P136" s="240">
        <v>0</v>
      </c>
      <c r="Q136" s="233"/>
      <c r="R136" s="233"/>
      <c r="S136" s="233"/>
      <c r="T136" s="25">
        <f t="shared" si="26"/>
        <v>0</v>
      </c>
      <c r="U136" s="138"/>
      <c r="V136" s="138"/>
      <c r="W136" s="138"/>
      <c r="X136" s="27"/>
      <c r="Y136" s="27"/>
      <c r="Z136" s="57"/>
    </row>
    <row r="137" spans="1:26">
      <c r="A137" s="316"/>
      <c r="B137" s="42" t="s">
        <v>37</v>
      </c>
      <c r="C137" s="331"/>
      <c r="D137" s="328"/>
      <c r="E137" s="301"/>
      <c r="F137" s="325"/>
      <c r="G137" s="145">
        <v>0</v>
      </c>
      <c r="H137" s="27"/>
      <c r="I137" s="27"/>
      <c r="J137" s="27"/>
      <c r="K137" s="27"/>
      <c r="L137" s="145">
        <v>0</v>
      </c>
      <c r="M137" s="138"/>
      <c r="N137" s="138"/>
      <c r="O137" s="138"/>
      <c r="P137" s="239">
        <v>0</v>
      </c>
      <c r="Q137" s="233"/>
      <c r="R137" s="233"/>
      <c r="S137" s="233"/>
      <c r="T137" s="25">
        <f t="shared" si="26"/>
        <v>0</v>
      </c>
      <c r="U137" s="138"/>
      <c r="V137" s="138"/>
      <c r="W137" s="138"/>
      <c r="X137" s="27"/>
      <c r="Y137" s="27"/>
      <c r="Z137" s="57"/>
    </row>
    <row r="138" spans="1:26">
      <c r="A138" s="316"/>
      <c r="B138" s="22" t="s">
        <v>28</v>
      </c>
      <c r="C138" s="331"/>
      <c r="D138" s="328"/>
      <c r="E138" s="301"/>
      <c r="F138" s="325"/>
      <c r="G138" s="144">
        <v>0</v>
      </c>
      <c r="H138" s="27"/>
      <c r="I138" s="27"/>
      <c r="J138" s="27"/>
      <c r="K138" s="27"/>
      <c r="L138" s="144">
        <v>0</v>
      </c>
      <c r="M138" s="138"/>
      <c r="N138" s="138"/>
      <c r="O138" s="138"/>
      <c r="P138" s="240">
        <v>0</v>
      </c>
      <c r="Q138" s="233"/>
      <c r="R138" s="233"/>
      <c r="S138" s="233"/>
      <c r="T138" s="25">
        <f t="shared" si="26"/>
        <v>0</v>
      </c>
      <c r="U138" s="138"/>
      <c r="V138" s="138"/>
      <c r="W138" s="138"/>
      <c r="X138" s="27"/>
      <c r="Y138" s="27"/>
      <c r="Z138" s="57"/>
    </row>
    <row r="139" spans="1:26">
      <c r="A139" s="316"/>
      <c r="B139" s="42" t="s">
        <v>39</v>
      </c>
      <c r="C139" s="310"/>
      <c r="D139" s="301"/>
      <c r="E139" s="301"/>
      <c r="F139" s="326"/>
      <c r="G139" s="145">
        <v>0</v>
      </c>
      <c r="H139" s="19"/>
      <c r="I139" s="19"/>
      <c r="J139" s="19"/>
      <c r="K139" s="19"/>
      <c r="L139" s="145">
        <v>0</v>
      </c>
      <c r="M139" s="144"/>
      <c r="N139" s="144"/>
      <c r="O139" s="144"/>
      <c r="P139" s="239">
        <v>0</v>
      </c>
      <c r="Q139" s="240"/>
      <c r="R139" s="240"/>
      <c r="S139" s="240"/>
      <c r="T139" s="25">
        <f t="shared" si="26"/>
        <v>0</v>
      </c>
      <c r="U139" s="144"/>
      <c r="V139" s="144"/>
      <c r="W139" s="144"/>
      <c r="X139" s="19"/>
      <c r="Y139" s="19"/>
      <c r="Z139" s="57"/>
    </row>
    <row r="140" spans="1:26">
      <c r="A140" s="316"/>
      <c r="B140" s="39" t="s">
        <v>30</v>
      </c>
      <c r="C140" s="310"/>
      <c r="D140" s="301"/>
      <c r="E140" s="301"/>
      <c r="F140" s="326"/>
      <c r="G140" s="145">
        <v>0</v>
      </c>
      <c r="H140" s="19"/>
      <c r="I140" s="19"/>
      <c r="J140" s="19"/>
      <c r="K140" s="19"/>
      <c r="L140" s="145">
        <v>0</v>
      </c>
      <c r="M140" s="144"/>
      <c r="N140" s="144"/>
      <c r="O140" s="144"/>
      <c r="P140" s="239">
        <v>0</v>
      </c>
      <c r="Q140" s="240"/>
      <c r="R140" s="240"/>
      <c r="S140" s="240"/>
      <c r="T140" s="25">
        <f t="shared" si="26"/>
        <v>0</v>
      </c>
      <c r="U140" s="144"/>
      <c r="V140" s="144"/>
      <c r="W140" s="144"/>
      <c r="X140" s="19"/>
      <c r="Y140" s="19"/>
      <c r="Z140" s="57"/>
    </row>
    <row r="141" spans="1:26">
      <c r="A141" s="316"/>
      <c r="B141" s="39" t="s">
        <v>31</v>
      </c>
      <c r="C141" s="310"/>
      <c r="D141" s="301"/>
      <c r="E141" s="301"/>
      <c r="F141" s="326"/>
      <c r="G141" s="145">
        <v>0</v>
      </c>
      <c r="H141" s="19"/>
      <c r="I141" s="19"/>
      <c r="J141" s="19"/>
      <c r="K141" s="19"/>
      <c r="L141" s="145">
        <v>0</v>
      </c>
      <c r="M141" s="144"/>
      <c r="N141" s="144"/>
      <c r="O141" s="144"/>
      <c r="P141" s="239">
        <v>0</v>
      </c>
      <c r="Q141" s="240"/>
      <c r="R141" s="240"/>
      <c r="S141" s="240"/>
      <c r="T141" s="25">
        <f t="shared" si="26"/>
        <v>0</v>
      </c>
      <c r="U141" s="144"/>
      <c r="V141" s="144"/>
      <c r="W141" s="144"/>
      <c r="X141" s="19"/>
      <c r="Y141" s="19"/>
      <c r="Z141" s="57"/>
    </row>
    <row r="142" spans="1:26">
      <c r="A142" s="316"/>
      <c r="B142" s="22" t="s">
        <v>35</v>
      </c>
      <c r="C142" s="310"/>
      <c r="D142" s="301"/>
      <c r="E142" s="301"/>
      <c r="F142" s="326"/>
      <c r="G142" s="144">
        <v>0</v>
      </c>
      <c r="H142" s="19"/>
      <c r="I142" s="19"/>
      <c r="J142" s="19"/>
      <c r="K142" s="19"/>
      <c r="L142" s="144">
        <v>0</v>
      </c>
      <c r="M142" s="144"/>
      <c r="N142" s="144"/>
      <c r="O142" s="144"/>
      <c r="P142" s="240">
        <v>0</v>
      </c>
      <c r="Q142" s="240"/>
      <c r="R142" s="240"/>
      <c r="S142" s="240"/>
      <c r="T142" s="25">
        <f t="shared" si="26"/>
        <v>0</v>
      </c>
      <c r="U142" s="144"/>
      <c r="V142" s="144"/>
      <c r="W142" s="144"/>
      <c r="X142" s="19"/>
      <c r="Y142" s="19"/>
      <c r="Z142" s="57"/>
    </row>
    <row r="143" spans="1:26">
      <c r="A143" s="317"/>
      <c r="B143" s="22" t="s">
        <v>36</v>
      </c>
      <c r="C143" s="311"/>
      <c r="D143" s="289"/>
      <c r="E143" s="289"/>
      <c r="F143" s="286"/>
      <c r="G143" s="144">
        <v>0</v>
      </c>
      <c r="H143" s="19"/>
      <c r="I143" s="19"/>
      <c r="J143" s="19"/>
      <c r="K143" s="19"/>
      <c r="L143" s="144">
        <v>0</v>
      </c>
      <c r="M143" s="144"/>
      <c r="N143" s="144"/>
      <c r="O143" s="144"/>
      <c r="P143" s="240">
        <v>0</v>
      </c>
      <c r="Q143" s="240"/>
      <c r="R143" s="240"/>
      <c r="S143" s="240"/>
      <c r="T143" s="25">
        <f t="shared" si="26"/>
        <v>0</v>
      </c>
      <c r="U143" s="144"/>
      <c r="V143" s="144"/>
      <c r="W143" s="144"/>
      <c r="X143" s="19"/>
      <c r="Y143" s="19"/>
      <c r="Z143" s="57"/>
    </row>
    <row r="144" spans="1:26" ht="15" customHeight="1">
      <c r="A144" s="373"/>
      <c r="B144" s="16" t="s">
        <v>14</v>
      </c>
      <c r="C144" s="332"/>
      <c r="D144" s="354">
        <f>G100+G89+G78</f>
        <v>175389.6</v>
      </c>
      <c r="E144" s="320">
        <f>G101+G90+G79+G112+G123+G134</f>
        <v>355032.7</v>
      </c>
      <c r="F144" s="336"/>
      <c r="G144" s="24">
        <f>G145+G147+G149+G153+G156</f>
        <v>326104.09999999998</v>
      </c>
      <c r="H144" s="24">
        <f>H145+H147+H149+H153+H156</f>
        <v>0</v>
      </c>
      <c r="I144" s="24">
        <f t="shared" ref="I144:K144" si="27">I145+I147+I149+I153+I156</f>
        <v>0</v>
      </c>
      <c r="J144" s="24">
        <f t="shared" si="27"/>
        <v>0</v>
      </c>
      <c r="K144" s="24">
        <f t="shared" si="27"/>
        <v>0</v>
      </c>
      <c r="L144" s="24">
        <f>L145+L147+L149+L153+L156</f>
        <v>43171.5</v>
      </c>
      <c r="M144" s="24">
        <f t="shared" ref="M144" si="28">M145+M147+M149+M153+M156</f>
        <v>0</v>
      </c>
      <c r="N144" s="24">
        <f t="shared" ref="N144:O144" si="29">N145+N147+N149+N153+N156</f>
        <v>0</v>
      </c>
      <c r="O144" s="24">
        <f t="shared" si="29"/>
        <v>0</v>
      </c>
      <c r="P144" s="24">
        <f>P145+P147+P149+P153+P156</f>
        <v>282932.59999999998</v>
      </c>
      <c r="Q144" s="24">
        <f t="shared" ref="Q144:S144" si="30">Q145+Q147+Q149+Q153+Q156</f>
        <v>0</v>
      </c>
      <c r="R144" s="24">
        <f t="shared" si="30"/>
        <v>0</v>
      </c>
      <c r="S144" s="24">
        <f t="shared" si="30"/>
        <v>0</v>
      </c>
      <c r="T144" s="24">
        <f>T145+T147+T149+T153+T156</f>
        <v>326104.09999999998</v>
      </c>
      <c r="U144" s="24">
        <f t="shared" ref="U144:W144" si="31">U145+U147+U149+U153+U156</f>
        <v>0</v>
      </c>
      <c r="V144" s="24">
        <f t="shared" si="31"/>
        <v>0</v>
      </c>
      <c r="W144" s="24">
        <f t="shared" si="31"/>
        <v>0</v>
      </c>
      <c r="X144" s="24">
        <f>X145+X147+X149+X153+X156</f>
        <v>43171.5</v>
      </c>
      <c r="Y144" s="24">
        <f>Y145+Y147+Y149+Y153+Y156</f>
        <v>282932.59999999998</v>
      </c>
      <c r="Z144" s="350">
        <f>SUM(H149:Y149)</f>
        <v>0</v>
      </c>
    </row>
    <row r="145" spans="1:27" ht="12.75" customHeight="1">
      <c r="A145" s="374"/>
      <c r="B145" s="21" t="s">
        <v>123</v>
      </c>
      <c r="C145" s="333"/>
      <c r="D145" s="322"/>
      <c r="E145" s="321"/>
      <c r="F145" s="337"/>
      <c r="G145" s="285">
        <f>H145+X145+Y145</f>
        <v>326104.09999999998</v>
      </c>
      <c r="H145" s="284">
        <f>H79+H90+H101+H112+H134+H123</f>
        <v>0</v>
      </c>
      <c r="I145" s="284">
        <f t="shared" ref="I145:K145" si="32">I79+I90+I101+I112+I134+I123</f>
        <v>0</v>
      </c>
      <c r="J145" s="284">
        <f t="shared" si="32"/>
        <v>0</v>
      </c>
      <c r="K145" s="284">
        <f t="shared" si="32"/>
        <v>0</v>
      </c>
      <c r="L145" s="284">
        <f>L79+L90+L101+L112+L134+L123</f>
        <v>43171.5</v>
      </c>
      <c r="M145" s="284">
        <f t="shared" ref="M145" si="33">M79+M90+M101+M112+M134+M123</f>
        <v>0</v>
      </c>
      <c r="N145" s="284">
        <f t="shared" ref="N145:O145" si="34">N79+N90+N101+N112+N134+N123</f>
        <v>0</v>
      </c>
      <c r="O145" s="284">
        <f t="shared" si="34"/>
        <v>0</v>
      </c>
      <c r="P145" s="284">
        <f>P79+P90+P101+P112+P134+P123</f>
        <v>282932.59999999998</v>
      </c>
      <c r="Q145" s="284">
        <f t="shared" ref="Q145:S145" si="35">Q79+Q90+Q101+Q112+Q134+Q123</f>
        <v>0</v>
      </c>
      <c r="R145" s="284">
        <f t="shared" si="35"/>
        <v>0</v>
      </c>
      <c r="S145" s="284">
        <f t="shared" si="35"/>
        <v>0</v>
      </c>
      <c r="T145" s="284">
        <f>T79+T90+T101+T112+T134+T123</f>
        <v>326104.09999999998</v>
      </c>
      <c r="U145" s="284">
        <f t="shared" ref="U145:W145" si="36">U79+U90+U101+U112+U134+U123</f>
        <v>0</v>
      </c>
      <c r="V145" s="284">
        <f t="shared" si="36"/>
        <v>0</v>
      </c>
      <c r="W145" s="284">
        <f t="shared" si="36"/>
        <v>0</v>
      </c>
      <c r="X145" s="284">
        <f>X79+X90+X101+X112+X134+X123</f>
        <v>43171.5</v>
      </c>
      <c r="Y145" s="284">
        <f>Y79+Y90+Y101+Y112+Y134+Y123</f>
        <v>282932.59999999998</v>
      </c>
      <c r="Z145" s="351"/>
      <c r="AA145" s="2"/>
    </row>
    <row r="146" spans="1:27" ht="12.75" customHeight="1">
      <c r="A146" s="374"/>
      <c r="B146" s="62" t="s">
        <v>103</v>
      </c>
      <c r="C146" s="333"/>
      <c r="D146" s="322"/>
      <c r="E146" s="321"/>
      <c r="F146" s="337"/>
      <c r="G146" s="286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351"/>
      <c r="AA146" s="2"/>
    </row>
    <row r="147" spans="1:27">
      <c r="A147" s="374"/>
      <c r="B147" s="22" t="s">
        <v>27</v>
      </c>
      <c r="C147" s="333"/>
      <c r="D147" s="322"/>
      <c r="E147" s="321"/>
      <c r="F147" s="337"/>
      <c r="G147" s="19">
        <f>SUM(G148)</f>
        <v>0</v>
      </c>
      <c r="H147" s="19">
        <f>SUM(H148)</f>
        <v>0</v>
      </c>
      <c r="I147" s="19">
        <f t="shared" ref="I147:W147" si="37">SUM(I148)</f>
        <v>0</v>
      </c>
      <c r="J147" s="19">
        <f t="shared" si="37"/>
        <v>0</v>
      </c>
      <c r="K147" s="19">
        <f t="shared" si="37"/>
        <v>0</v>
      </c>
      <c r="L147" s="144">
        <f t="shared" si="37"/>
        <v>0</v>
      </c>
      <c r="M147" s="240">
        <f t="shared" si="37"/>
        <v>0</v>
      </c>
      <c r="N147" s="240">
        <f t="shared" si="37"/>
        <v>0</v>
      </c>
      <c r="O147" s="240">
        <f t="shared" si="37"/>
        <v>0</v>
      </c>
      <c r="P147" s="240">
        <f t="shared" si="37"/>
        <v>0</v>
      </c>
      <c r="Q147" s="240">
        <f t="shared" si="37"/>
        <v>0</v>
      </c>
      <c r="R147" s="240">
        <f t="shared" si="37"/>
        <v>0</v>
      </c>
      <c r="S147" s="240">
        <f t="shared" si="37"/>
        <v>0</v>
      </c>
      <c r="T147" s="240">
        <f t="shared" si="37"/>
        <v>0</v>
      </c>
      <c r="U147" s="240">
        <f t="shared" si="37"/>
        <v>0</v>
      </c>
      <c r="V147" s="240">
        <f t="shared" si="37"/>
        <v>0</v>
      </c>
      <c r="W147" s="240">
        <f t="shared" si="37"/>
        <v>0</v>
      </c>
      <c r="X147" s="19">
        <f>SUM(X148)</f>
        <v>0</v>
      </c>
      <c r="Y147" s="19">
        <f>SUM(Y148)</f>
        <v>0</v>
      </c>
      <c r="Z147" s="351"/>
      <c r="AA147" s="2"/>
    </row>
    <row r="148" spans="1:27">
      <c r="A148" s="374"/>
      <c r="B148" s="42" t="s">
        <v>37</v>
      </c>
      <c r="C148" s="333"/>
      <c r="D148" s="322"/>
      <c r="E148" s="321"/>
      <c r="F148" s="337"/>
      <c r="G148" s="46">
        <f>SUM(H148:Y148)</f>
        <v>0</v>
      </c>
      <c r="H148" s="46">
        <f>H137+H104+H93+H82</f>
        <v>0</v>
      </c>
      <c r="I148" s="46">
        <f t="shared" ref="I148:K148" si="38">I137+I104+I93+I82</f>
        <v>0</v>
      </c>
      <c r="J148" s="46">
        <f t="shared" si="38"/>
        <v>0</v>
      </c>
      <c r="K148" s="46">
        <f t="shared" si="38"/>
        <v>0</v>
      </c>
      <c r="L148" s="145">
        <f t="shared" ref="L148:M148" si="39">L137+L104+L93+L82</f>
        <v>0</v>
      </c>
      <c r="M148" s="239">
        <f t="shared" si="39"/>
        <v>0</v>
      </c>
      <c r="N148" s="239">
        <f t="shared" ref="N148:T148" si="40">N137+N104+N93+N82</f>
        <v>0</v>
      </c>
      <c r="O148" s="239">
        <f t="shared" si="40"/>
        <v>0</v>
      </c>
      <c r="P148" s="239">
        <f t="shared" si="40"/>
        <v>0</v>
      </c>
      <c r="Q148" s="239">
        <f t="shared" si="40"/>
        <v>0</v>
      </c>
      <c r="R148" s="239">
        <f t="shared" ref="R148:S148" si="41">R137+R104+R93+R82</f>
        <v>0</v>
      </c>
      <c r="S148" s="239">
        <f t="shared" si="41"/>
        <v>0</v>
      </c>
      <c r="T148" s="239">
        <f t="shared" si="40"/>
        <v>0</v>
      </c>
      <c r="U148" s="239">
        <f t="shared" ref="U148:W148" si="42">U137+U104+U93+U82</f>
        <v>0</v>
      </c>
      <c r="V148" s="239">
        <f t="shared" si="42"/>
        <v>0</v>
      </c>
      <c r="W148" s="239">
        <f t="shared" si="42"/>
        <v>0</v>
      </c>
      <c r="X148" s="46">
        <f>X137+X104+X93+X82</f>
        <v>0</v>
      </c>
      <c r="Y148" s="46">
        <f>Y137+Y104+Y93+Y82</f>
        <v>0</v>
      </c>
      <c r="Z148" s="351"/>
    </row>
    <row r="149" spans="1:27">
      <c r="A149" s="374"/>
      <c r="B149" s="22" t="s">
        <v>28</v>
      </c>
      <c r="C149" s="333"/>
      <c r="D149" s="322"/>
      <c r="E149" s="321"/>
      <c r="F149" s="337"/>
      <c r="G149" s="19">
        <f>SUM(G150:G152)</f>
        <v>0</v>
      </c>
      <c r="H149" s="19">
        <f>SUM(H150:H152)</f>
        <v>0</v>
      </c>
      <c r="I149" s="19">
        <f t="shared" ref="I149:K149" si="43">SUM(I150:I152)</f>
        <v>0</v>
      </c>
      <c r="J149" s="19">
        <f t="shared" si="43"/>
        <v>0</v>
      </c>
      <c r="K149" s="19">
        <f t="shared" si="43"/>
        <v>0</v>
      </c>
      <c r="L149" s="144">
        <f t="shared" ref="L149:M149" si="44">SUM(L150:L152)</f>
        <v>0</v>
      </c>
      <c r="M149" s="240">
        <f t="shared" si="44"/>
        <v>0</v>
      </c>
      <c r="N149" s="240">
        <f t="shared" ref="N149:T149" si="45">SUM(N150:N152)</f>
        <v>0</v>
      </c>
      <c r="O149" s="240">
        <f t="shared" si="45"/>
        <v>0</v>
      </c>
      <c r="P149" s="240">
        <f t="shared" si="45"/>
        <v>0</v>
      </c>
      <c r="Q149" s="240">
        <f t="shared" si="45"/>
        <v>0</v>
      </c>
      <c r="R149" s="240">
        <f t="shared" ref="R149:S149" si="46">SUM(R150:R152)</f>
        <v>0</v>
      </c>
      <c r="S149" s="240">
        <f t="shared" si="46"/>
        <v>0</v>
      </c>
      <c r="T149" s="240">
        <f t="shared" si="45"/>
        <v>0</v>
      </c>
      <c r="U149" s="240">
        <f t="shared" ref="U149:W149" si="47">SUM(U150:U152)</f>
        <v>0</v>
      </c>
      <c r="V149" s="240">
        <f t="shared" si="47"/>
        <v>0</v>
      </c>
      <c r="W149" s="240">
        <f t="shared" si="47"/>
        <v>0</v>
      </c>
      <c r="X149" s="19">
        <f>SUM(X150:X152)</f>
        <v>0</v>
      </c>
      <c r="Y149" s="19">
        <f>SUM(Y150:Y152)</f>
        <v>0</v>
      </c>
      <c r="Z149" s="351"/>
    </row>
    <row r="150" spans="1:27">
      <c r="A150" s="374"/>
      <c r="B150" s="42" t="s">
        <v>39</v>
      </c>
      <c r="C150" s="333"/>
      <c r="D150" s="322"/>
      <c r="E150" s="322"/>
      <c r="F150" s="337"/>
      <c r="G150" s="46">
        <f t="shared" ref="G150:G156" si="48">SUM(H150:Y150)</f>
        <v>0</v>
      </c>
      <c r="H150" s="46">
        <f t="shared" ref="H150:Y152" si="49">H106+H95+H84+H139</f>
        <v>0</v>
      </c>
      <c r="I150" s="46">
        <f t="shared" ref="I150:K150" si="50">I106+I95+I84+I139</f>
        <v>0</v>
      </c>
      <c r="J150" s="46">
        <f t="shared" si="50"/>
        <v>0</v>
      </c>
      <c r="K150" s="46">
        <f t="shared" si="50"/>
        <v>0</v>
      </c>
      <c r="L150" s="145">
        <f t="shared" ref="L150:M150" si="51">L106+L95+L84+L139</f>
        <v>0</v>
      </c>
      <c r="M150" s="239">
        <f t="shared" si="51"/>
        <v>0</v>
      </c>
      <c r="N150" s="239">
        <f t="shared" ref="N150:T150" si="52">N106+N95+N84+N139</f>
        <v>0</v>
      </c>
      <c r="O150" s="239">
        <f t="shared" si="52"/>
        <v>0</v>
      </c>
      <c r="P150" s="239">
        <f t="shared" si="52"/>
        <v>0</v>
      </c>
      <c r="Q150" s="239">
        <f t="shared" si="52"/>
        <v>0</v>
      </c>
      <c r="R150" s="239">
        <f t="shared" ref="R150:S150" si="53">R106+R95+R84+R139</f>
        <v>0</v>
      </c>
      <c r="S150" s="239">
        <f t="shared" si="53"/>
        <v>0</v>
      </c>
      <c r="T150" s="239">
        <f t="shared" si="52"/>
        <v>0</v>
      </c>
      <c r="U150" s="239">
        <f t="shared" ref="U150:W150" si="54">U106+U95+U84+U139</f>
        <v>0</v>
      </c>
      <c r="V150" s="239">
        <f t="shared" si="54"/>
        <v>0</v>
      </c>
      <c r="W150" s="239">
        <f t="shared" si="54"/>
        <v>0</v>
      </c>
      <c r="X150" s="46">
        <f t="shared" si="49"/>
        <v>0</v>
      </c>
      <c r="Y150" s="46">
        <f t="shared" si="49"/>
        <v>0</v>
      </c>
      <c r="Z150" s="351"/>
    </row>
    <row r="151" spans="1:27">
      <c r="A151" s="374"/>
      <c r="B151" s="39" t="s">
        <v>30</v>
      </c>
      <c r="C151" s="333"/>
      <c r="D151" s="322"/>
      <c r="E151" s="322"/>
      <c r="F151" s="337"/>
      <c r="G151" s="46">
        <f t="shared" si="48"/>
        <v>0</v>
      </c>
      <c r="H151" s="46">
        <f t="shared" si="49"/>
        <v>0</v>
      </c>
      <c r="I151" s="46">
        <f t="shared" ref="I151:K151" si="55">I107+I96+I85+I140</f>
        <v>0</v>
      </c>
      <c r="J151" s="46">
        <f t="shared" si="55"/>
        <v>0</v>
      </c>
      <c r="K151" s="46">
        <f t="shared" si="55"/>
        <v>0</v>
      </c>
      <c r="L151" s="145">
        <f t="shared" ref="L151:M151" si="56">L107+L96+L85+L140</f>
        <v>0</v>
      </c>
      <c r="M151" s="239">
        <f t="shared" si="56"/>
        <v>0</v>
      </c>
      <c r="N151" s="239">
        <f t="shared" ref="N151:T151" si="57">N107+N96+N85+N140</f>
        <v>0</v>
      </c>
      <c r="O151" s="239">
        <f t="shared" si="57"/>
        <v>0</v>
      </c>
      <c r="P151" s="239">
        <f t="shared" si="57"/>
        <v>0</v>
      </c>
      <c r="Q151" s="239">
        <f t="shared" si="57"/>
        <v>0</v>
      </c>
      <c r="R151" s="239">
        <f t="shared" ref="R151:S151" si="58">R107+R96+R85+R140</f>
        <v>0</v>
      </c>
      <c r="S151" s="239">
        <f t="shared" si="58"/>
        <v>0</v>
      </c>
      <c r="T151" s="239">
        <f t="shared" si="57"/>
        <v>0</v>
      </c>
      <c r="U151" s="239">
        <f t="shared" ref="U151:W151" si="59">U107+U96+U85+U140</f>
        <v>0</v>
      </c>
      <c r="V151" s="239">
        <f t="shared" si="59"/>
        <v>0</v>
      </c>
      <c r="W151" s="239">
        <f t="shared" si="59"/>
        <v>0</v>
      </c>
      <c r="X151" s="46">
        <f t="shared" si="49"/>
        <v>0</v>
      </c>
      <c r="Y151" s="46">
        <f t="shared" si="49"/>
        <v>0</v>
      </c>
      <c r="Z151" s="351"/>
    </row>
    <row r="152" spans="1:27">
      <c r="A152" s="374"/>
      <c r="B152" s="39" t="s">
        <v>31</v>
      </c>
      <c r="C152" s="333"/>
      <c r="D152" s="322"/>
      <c r="E152" s="322"/>
      <c r="F152" s="337"/>
      <c r="G152" s="46">
        <f t="shared" si="48"/>
        <v>0</v>
      </c>
      <c r="H152" s="46">
        <f t="shared" si="49"/>
        <v>0</v>
      </c>
      <c r="I152" s="46">
        <f t="shared" ref="I152:K152" si="60">I108+I97+I86+I141</f>
        <v>0</v>
      </c>
      <c r="J152" s="46">
        <f t="shared" si="60"/>
        <v>0</v>
      </c>
      <c r="K152" s="46">
        <f t="shared" si="60"/>
        <v>0</v>
      </c>
      <c r="L152" s="145">
        <f t="shared" ref="L152:M152" si="61">L108+L97+L86+L141</f>
        <v>0</v>
      </c>
      <c r="M152" s="239">
        <f t="shared" si="61"/>
        <v>0</v>
      </c>
      <c r="N152" s="239">
        <f t="shared" ref="N152:T152" si="62">N108+N97+N86+N141</f>
        <v>0</v>
      </c>
      <c r="O152" s="239">
        <f t="shared" si="62"/>
        <v>0</v>
      </c>
      <c r="P152" s="239">
        <f t="shared" si="62"/>
        <v>0</v>
      </c>
      <c r="Q152" s="239">
        <f t="shared" si="62"/>
        <v>0</v>
      </c>
      <c r="R152" s="239">
        <f t="shared" ref="R152:S152" si="63">R108+R97+R86+R141</f>
        <v>0</v>
      </c>
      <c r="S152" s="239">
        <f t="shared" si="63"/>
        <v>0</v>
      </c>
      <c r="T152" s="239">
        <f t="shared" si="62"/>
        <v>0</v>
      </c>
      <c r="U152" s="239">
        <f t="shared" ref="U152:W152" si="64">U108+U97+U86+U141</f>
        <v>0</v>
      </c>
      <c r="V152" s="239">
        <f t="shared" si="64"/>
        <v>0</v>
      </c>
      <c r="W152" s="239">
        <f t="shared" si="64"/>
        <v>0</v>
      </c>
      <c r="X152" s="46">
        <f t="shared" si="49"/>
        <v>0</v>
      </c>
      <c r="Y152" s="46">
        <f t="shared" si="49"/>
        <v>0</v>
      </c>
      <c r="Z152" s="351"/>
    </row>
    <row r="153" spans="1:27">
      <c r="A153" s="374"/>
      <c r="B153" s="22" t="s">
        <v>35</v>
      </c>
      <c r="C153" s="333"/>
      <c r="D153" s="322"/>
      <c r="E153" s="322"/>
      <c r="F153" s="337"/>
      <c r="G153" s="19">
        <f t="shared" si="48"/>
        <v>0</v>
      </c>
      <c r="H153" s="19">
        <f>SUM(H154:H155)</f>
        <v>0</v>
      </c>
      <c r="I153" s="19">
        <f t="shared" ref="I153:K153" si="65">SUM(I154:I155)</f>
        <v>0</v>
      </c>
      <c r="J153" s="19">
        <f t="shared" si="65"/>
        <v>0</v>
      </c>
      <c r="K153" s="19">
        <f t="shared" si="65"/>
        <v>0</v>
      </c>
      <c r="L153" s="144">
        <f t="shared" ref="L153:M153" si="66">SUM(L154:L155)</f>
        <v>0</v>
      </c>
      <c r="M153" s="240">
        <f t="shared" si="66"/>
        <v>0</v>
      </c>
      <c r="N153" s="240">
        <f t="shared" ref="N153:T153" si="67">SUM(N154:N155)</f>
        <v>0</v>
      </c>
      <c r="O153" s="240">
        <f t="shared" si="67"/>
        <v>0</v>
      </c>
      <c r="P153" s="240">
        <f t="shared" si="67"/>
        <v>0</v>
      </c>
      <c r="Q153" s="240">
        <f t="shared" si="67"/>
        <v>0</v>
      </c>
      <c r="R153" s="240">
        <f t="shared" ref="R153:S153" si="68">SUM(R154:R155)</f>
        <v>0</v>
      </c>
      <c r="S153" s="240">
        <f t="shared" si="68"/>
        <v>0</v>
      </c>
      <c r="T153" s="240">
        <f t="shared" si="67"/>
        <v>0</v>
      </c>
      <c r="U153" s="240">
        <f t="shared" ref="U153:W153" si="69">SUM(U154:U155)</f>
        <v>0</v>
      </c>
      <c r="V153" s="240">
        <f t="shared" si="69"/>
        <v>0</v>
      </c>
      <c r="W153" s="240">
        <f t="shared" si="69"/>
        <v>0</v>
      </c>
      <c r="X153" s="19">
        <f>SUM(X154:X155)</f>
        <v>0</v>
      </c>
      <c r="Y153" s="19">
        <f>SUM(Y154:Y155)</f>
        <v>0</v>
      </c>
      <c r="Z153" s="351"/>
    </row>
    <row r="154" spans="1:27">
      <c r="A154" s="374"/>
      <c r="B154" s="39" t="s">
        <v>53</v>
      </c>
      <c r="C154" s="333"/>
      <c r="D154" s="322"/>
      <c r="E154" s="322"/>
      <c r="F154" s="337"/>
      <c r="G154" s="46">
        <f t="shared" si="48"/>
        <v>0</v>
      </c>
      <c r="H154" s="46">
        <f>SUM(X154:Z154)</f>
        <v>0</v>
      </c>
      <c r="I154" s="46">
        <f t="shared" ref="I154:M156" si="70">SUM(Y154:AA154)</f>
        <v>0</v>
      </c>
      <c r="J154" s="46">
        <f t="shared" si="70"/>
        <v>0</v>
      </c>
      <c r="K154" s="46">
        <f t="shared" si="70"/>
        <v>0</v>
      </c>
      <c r="L154" s="145">
        <f t="shared" si="70"/>
        <v>0</v>
      </c>
      <c r="M154" s="239">
        <f t="shared" si="70"/>
        <v>0</v>
      </c>
      <c r="N154" s="239">
        <f t="shared" ref="N154:N156" si="71">SUM(AD154:AF154)</f>
        <v>0</v>
      </c>
      <c r="O154" s="239">
        <f>SUM(AE154:AG154)</f>
        <v>0</v>
      </c>
      <c r="P154" s="239">
        <f t="shared" ref="P154:P156" si="72">SUM(AF154:AH154)</f>
        <v>0</v>
      </c>
      <c r="Q154" s="239">
        <f t="shared" ref="Q154:Q156" si="73">SUM(AG154:AI154)</f>
        <v>0</v>
      </c>
      <c r="R154" s="239">
        <f t="shared" ref="R154:R156" si="74">SUM(AH154:AJ154)</f>
        <v>0</v>
      </c>
      <c r="S154" s="239">
        <f>SUM(AI154:AK154)</f>
        <v>0</v>
      </c>
      <c r="T154" s="239">
        <f t="shared" ref="T154:T156" si="75">SUM(AF154:AH154)</f>
        <v>0</v>
      </c>
      <c r="U154" s="239">
        <f t="shared" ref="U154:U156" si="76">SUM(AG154:AI154)</f>
        <v>0</v>
      </c>
      <c r="V154" s="239">
        <f t="shared" ref="V154:V156" si="77">SUM(AH154:AJ154)</f>
        <v>0</v>
      </c>
      <c r="W154" s="239">
        <f t="shared" ref="W154:W156" si="78">SUM(AI154:AK154)</f>
        <v>0</v>
      </c>
      <c r="X154" s="46">
        <f t="shared" ref="X154:Y156" si="79">SUM(Y154:AA154)</f>
        <v>0</v>
      </c>
      <c r="Y154" s="46">
        <f t="shared" si="79"/>
        <v>0</v>
      </c>
      <c r="Z154" s="351"/>
    </row>
    <row r="155" spans="1:27">
      <c r="A155" s="374"/>
      <c r="B155" s="39" t="s">
        <v>54</v>
      </c>
      <c r="C155" s="333"/>
      <c r="D155" s="322"/>
      <c r="E155" s="322"/>
      <c r="F155" s="337"/>
      <c r="G155" s="46">
        <f t="shared" si="48"/>
        <v>0</v>
      </c>
      <c r="H155" s="46">
        <f>SUM(X155:Z155)</f>
        <v>0</v>
      </c>
      <c r="I155" s="46">
        <f t="shared" si="70"/>
        <v>0</v>
      </c>
      <c r="J155" s="46">
        <f t="shared" si="70"/>
        <v>0</v>
      </c>
      <c r="K155" s="46">
        <f t="shared" si="70"/>
        <v>0</v>
      </c>
      <c r="L155" s="145">
        <f t="shared" si="70"/>
        <v>0</v>
      </c>
      <c r="M155" s="239">
        <f t="shared" si="70"/>
        <v>0</v>
      </c>
      <c r="N155" s="239">
        <f t="shared" si="71"/>
        <v>0</v>
      </c>
      <c r="O155" s="239">
        <f>SUM(AE155:AG155)</f>
        <v>0</v>
      </c>
      <c r="P155" s="239">
        <f t="shared" si="72"/>
        <v>0</v>
      </c>
      <c r="Q155" s="239">
        <f t="shared" si="73"/>
        <v>0</v>
      </c>
      <c r="R155" s="239">
        <f t="shared" si="74"/>
        <v>0</v>
      </c>
      <c r="S155" s="239">
        <f>SUM(AI155:AK155)</f>
        <v>0</v>
      </c>
      <c r="T155" s="239">
        <f t="shared" si="75"/>
        <v>0</v>
      </c>
      <c r="U155" s="239">
        <f t="shared" si="76"/>
        <v>0</v>
      </c>
      <c r="V155" s="239">
        <f t="shared" si="77"/>
        <v>0</v>
      </c>
      <c r="W155" s="239">
        <f t="shared" si="78"/>
        <v>0</v>
      </c>
      <c r="X155" s="46">
        <f t="shared" si="79"/>
        <v>0</v>
      </c>
      <c r="Y155" s="46">
        <f t="shared" si="79"/>
        <v>0</v>
      </c>
      <c r="Z155" s="351"/>
    </row>
    <row r="156" spans="1:27">
      <c r="A156" s="375"/>
      <c r="B156" s="22" t="s">
        <v>36</v>
      </c>
      <c r="C156" s="334"/>
      <c r="D156" s="323"/>
      <c r="E156" s="323"/>
      <c r="F156" s="338"/>
      <c r="G156" s="19">
        <f t="shared" si="48"/>
        <v>0</v>
      </c>
      <c r="H156" s="19">
        <f>SUM(X156:Z156)</f>
        <v>0</v>
      </c>
      <c r="I156" s="19">
        <f t="shared" si="70"/>
        <v>0</v>
      </c>
      <c r="J156" s="19">
        <f t="shared" si="70"/>
        <v>0</v>
      </c>
      <c r="K156" s="19">
        <f t="shared" si="70"/>
        <v>0</v>
      </c>
      <c r="L156" s="144">
        <f t="shared" si="70"/>
        <v>0</v>
      </c>
      <c r="M156" s="240">
        <f t="shared" si="70"/>
        <v>0</v>
      </c>
      <c r="N156" s="240">
        <f t="shared" si="71"/>
        <v>0</v>
      </c>
      <c r="O156" s="240">
        <f>SUM(AE156:AG156)</f>
        <v>0</v>
      </c>
      <c r="P156" s="240">
        <f t="shared" si="72"/>
        <v>0</v>
      </c>
      <c r="Q156" s="240">
        <f t="shared" si="73"/>
        <v>0</v>
      </c>
      <c r="R156" s="240">
        <f t="shared" si="74"/>
        <v>0</v>
      </c>
      <c r="S156" s="240">
        <f>SUM(AI156:AK156)</f>
        <v>0</v>
      </c>
      <c r="T156" s="240">
        <f t="shared" si="75"/>
        <v>0</v>
      </c>
      <c r="U156" s="240">
        <f t="shared" si="76"/>
        <v>0</v>
      </c>
      <c r="V156" s="240">
        <f t="shared" si="77"/>
        <v>0</v>
      </c>
      <c r="W156" s="240">
        <f t="shared" si="78"/>
        <v>0</v>
      </c>
      <c r="X156" s="19">
        <f t="shared" si="79"/>
        <v>0</v>
      </c>
      <c r="Y156" s="19">
        <f t="shared" si="79"/>
        <v>0</v>
      </c>
      <c r="Z156" s="352"/>
    </row>
    <row r="157" spans="1:27">
      <c r="A157" s="4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7">
      <c r="A158" s="3"/>
      <c r="B158" s="6"/>
      <c r="C158" s="6"/>
      <c r="D158" s="6"/>
      <c r="E158" s="6"/>
      <c r="F158" s="6"/>
      <c r="G158" s="28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28"/>
      <c r="Y158" s="28"/>
    </row>
    <row r="159" spans="1:27" ht="13.5" customHeight="1">
      <c r="A159" s="373"/>
      <c r="B159" s="14" t="s">
        <v>19</v>
      </c>
      <c r="C159" s="336"/>
      <c r="D159" s="354">
        <f>G144+G65</f>
        <v>442525.44999999995</v>
      </c>
      <c r="E159" s="336"/>
      <c r="F159" s="339">
        <f>G145+G66</f>
        <v>442525.44999999995</v>
      </c>
      <c r="G159" s="24">
        <f>G160+G162+G164+G168+G171</f>
        <v>442525.44999999995</v>
      </c>
      <c r="H159" s="24">
        <f>H160+H162+H164+H168+H171</f>
        <v>0</v>
      </c>
      <c r="I159" s="24">
        <f t="shared" ref="I159:K159" si="80">I160+I162+I164+I168+I171</f>
        <v>0</v>
      </c>
      <c r="J159" s="24">
        <f t="shared" si="80"/>
        <v>0</v>
      </c>
      <c r="K159" s="24">
        <f t="shared" si="80"/>
        <v>0</v>
      </c>
      <c r="L159" s="24">
        <f t="shared" ref="L159:O159" si="81">L160+L162+L164+L168+L171</f>
        <v>98577.400000000009</v>
      </c>
      <c r="M159" s="24">
        <f t="shared" si="81"/>
        <v>0</v>
      </c>
      <c r="N159" s="24">
        <f>N160+N162+N164+N168+N171</f>
        <v>0</v>
      </c>
      <c r="O159" s="24">
        <f t="shared" si="81"/>
        <v>0</v>
      </c>
      <c r="P159" s="24">
        <f t="shared" ref="P159:Q159" si="82">P160+P162+P164+P168+P171</f>
        <v>282932.59999999998</v>
      </c>
      <c r="Q159" s="24">
        <f t="shared" si="82"/>
        <v>0</v>
      </c>
      <c r="R159" s="24">
        <f>R160+R162+R164+R168+R171</f>
        <v>0</v>
      </c>
      <c r="S159" s="24">
        <f t="shared" ref="S159" si="83">S160+S162+S164+S168+S171</f>
        <v>0</v>
      </c>
      <c r="T159" s="25">
        <f>L159+H159+P159</f>
        <v>381510</v>
      </c>
      <c r="U159" s="24">
        <f t="shared" ref="U159" si="84">U160+U162+U164+U168+U171</f>
        <v>0</v>
      </c>
      <c r="V159" s="24">
        <f>V160+V162+V164+V168+V171</f>
        <v>0</v>
      </c>
      <c r="W159" s="24">
        <f t="shared" ref="W159" si="85">W160+W162+W164+W168+W171</f>
        <v>0</v>
      </c>
      <c r="X159" s="24">
        <f>X160+X162+X164+X168+X171</f>
        <v>98577.35</v>
      </c>
      <c r="Y159" s="24">
        <f>Y160+Y162+Y164+Y168+Y171</f>
        <v>343948.1</v>
      </c>
      <c r="Z159" s="347"/>
    </row>
    <row r="160" spans="1:27" ht="12.75" customHeight="1">
      <c r="A160" s="374"/>
      <c r="B160" s="21" t="s">
        <v>123</v>
      </c>
      <c r="C160" s="337"/>
      <c r="D160" s="322"/>
      <c r="E160" s="337"/>
      <c r="F160" s="340"/>
      <c r="G160" s="293">
        <f>H160+X160+Y160</f>
        <v>442525.44999999995</v>
      </c>
      <c r="H160" s="284">
        <f>H145+H66</f>
        <v>0</v>
      </c>
      <c r="I160" s="284">
        <f t="shared" ref="I160:K160" si="86">I145+I66</f>
        <v>0</v>
      </c>
      <c r="J160" s="284">
        <f t="shared" si="86"/>
        <v>0</v>
      </c>
      <c r="K160" s="284">
        <f t="shared" si="86"/>
        <v>0</v>
      </c>
      <c r="L160" s="284">
        <f>L145+L66</f>
        <v>98577.400000000009</v>
      </c>
      <c r="M160" s="284">
        <f t="shared" ref="M160:O160" si="87">M145+M66</f>
        <v>0</v>
      </c>
      <c r="N160" s="284">
        <f>N145+N66</f>
        <v>0</v>
      </c>
      <c r="O160" s="284">
        <f t="shared" si="87"/>
        <v>0</v>
      </c>
      <c r="P160" s="284">
        <f>P145+P66</f>
        <v>282932.59999999998</v>
      </c>
      <c r="Q160" s="284">
        <f t="shared" ref="Q160" si="88">Q145+Q66</f>
        <v>0</v>
      </c>
      <c r="R160" s="284">
        <f>R145+R66</f>
        <v>0</v>
      </c>
      <c r="S160" s="284">
        <f t="shared" ref="S160" si="89">S145+S66</f>
        <v>0</v>
      </c>
      <c r="T160" s="284">
        <f>L160+H160+P160</f>
        <v>381510</v>
      </c>
      <c r="U160" s="284">
        <f t="shared" ref="U160" si="90">U145+U66</f>
        <v>0</v>
      </c>
      <c r="V160" s="284">
        <f>V145+V66</f>
        <v>0</v>
      </c>
      <c r="W160" s="284">
        <f t="shared" ref="W160" si="91">W145+W66</f>
        <v>0</v>
      </c>
      <c r="X160" s="284">
        <f>X145+X66</f>
        <v>98577.35</v>
      </c>
      <c r="Y160" s="284">
        <f>Y145+Y66</f>
        <v>343948.1</v>
      </c>
      <c r="Z160" s="348"/>
    </row>
    <row r="161" spans="1:27" ht="12.75" customHeight="1">
      <c r="A161" s="374"/>
      <c r="B161" s="38" t="s">
        <v>113</v>
      </c>
      <c r="C161" s="337"/>
      <c r="D161" s="322"/>
      <c r="E161" s="337"/>
      <c r="F161" s="340"/>
      <c r="G161" s="335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>
        <f t="shared" ref="T161:T170" si="92">L161+H161</f>
        <v>0</v>
      </c>
      <c r="U161" s="284"/>
      <c r="V161" s="284"/>
      <c r="W161" s="284"/>
      <c r="X161" s="284"/>
      <c r="Y161" s="284"/>
      <c r="Z161" s="348"/>
      <c r="AA161" s="2"/>
    </row>
    <row r="162" spans="1:27">
      <c r="A162" s="374"/>
      <c r="B162" s="22" t="s">
        <v>27</v>
      </c>
      <c r="C162" s="337"/>
      <c r="D162" s="322"/>
      <c r="E162" s="337"/>
      <c r="F162" s="340"/>
      <c r="G162" s="19">
        <f>SUM(G163)</f>
        <v>0</v>
      </c>
      <c r="H162" s="19">
        <f>H163</f>
        <v>0</v>
      </c>
      <c r="I162" s="19">
        <f t="shared" ref="I162:W162" si="93">I163</f>
        <v>0</v>
      </c>
      <c r="J162" s="19">
        <f t="shared" si="93"/>
        <v>0</v>
      </c>
      <c r="K162" s="19">
        <f t="shared" si="93"/>
        <v>0</v>
      </c>
      <c r="L162" s="144">
        <f t="shared" si="93"/>
        <v>0</v>
      </c>
      <c r="M162" s="240">
        <f t="shared" si="93"/>
        <v>0</v>
      </c>
      <c r="N162" s="240">
        <f t="shared" si="93"/>
        <v>0</v>
      </c>
      <c r="O162" s="240">
        <f t="shared" si="93"/>
        <v>0</v>
      </c>
      <c r="P162" s="240">
        <f t="shared" si="93"/>
        <v>0</v>
      </c>
      <c r="Q162" s="240">
        <f t="shared" si="93"/>
        <v>0</v>
      </c>
      <c r="R162" s="240">
        <f t="shared" si="93"/>
        <v>0</v>
      </c>
      <c r="S162" s="240">
        <f t="shared" si="93"/>
        <v>0</v>
      </c>
      <c r="T162" s="25">
        <f t="shared" si="92"/>
        <v>0</v>
      </c>
      <c r="U162" s="240">
        <f t="shared" si="93"/>
        <v>0</v>
      </c>
      <c r="V162" s="240">
        <f t="shared" si="93"/>
        <v>0</v>
      </c>
      <c r="W162" s="240">
        <f t="shared" si="93"/>
        <v>0</v>
      </c>
      <c r="X162" s="19">
        <f>X163</f>
        <v>0</v>
      </c>
      <c r="Y162" s="19">
        <f>Y163</f>
        <v>0</v>
      </c>
      <c r="Z162" s="348"/>
    </row>
    <row r="163" spans="1:27" ht="15.75" customHeight="1">
      <c r="A163" s="374"/>
      <c r="B163" s="42" t="s">
        <v>40</v>
      </c>
      <c r="C163" s="337"/>
      <c r="D163" s="322"/>
      <c r="E163" s="337"/>
      <c r="F163" s="340"/>
      <c r="G163" s="46">
        <f>SUM(H163:Y163)</f>
        <v>0</v>
      </c>
      <c r="H163" s="46">
        <f>H69+H148</f>
        <v>0</v>
      </c>
      <c r="I163" s="46">
        <f t="shared" ref="I163:K163" si="94">I69+I148</f>
        <v>0</v>
      </c>
      <c r="J163" s="46">
        <f t="shared" si="94"/>
        <v>0</v>
      </c>
      <c r="K163" s="46">
        <f t="shared" si="94"/>
        <v>0</v>
      </c>
      <c r="L163" s="145">
        <f t="shared" ref="L163:O163" si="95">L69+L148</f>
        <v>0</v>
      </c>
      <c r="M163" s="239">
        <f t="shared" si="95"/>
        <v>0</v>
      </c>
      <c r="N163" s="239">
        <f t="shared" si="95"/>
        <v>0</v>
      </c>
      <c r="O163" s="239">
        <f t="shared" si="95"/>
        <v>0</v>
      </c>
      <c r="P163" s="239">
        <f t="shared" ref="P163:S163" si="96">P69+P148</f>
        <v>0</v>
      </c>
      <c r="Q163" s="239">
        <f t="shared" si="96"/>
        <v>0</v>
      </c>
      <c r="R163" s="239">
        <f t="shared" si="96"/>
        <v>0</v>
      </c>
      <c r="S163" s="239">
        <f t="shared" si="96"/>
        <v>0</v>
      </c>
      <c r="T163" s="25">
        <f t="shared" si="92"/>
        <v>0</v>
      </c>
      <c r="U163" s="239">
        <f t="shared" ref="U163:W163" si="97">U69+U148</f>
        <v>0</v>
      </c>
      <c r="V163" s="239">
        <f t="shared" si="97"/>
        <v>0</v>
      </c>
      <c r="W163" s="239">
        <f t="shared" si="97"/>
        <v>0</v>
      </c>
      <c r="X163" s="46">
        <f>X69+X148</f>
        <v>0</v>
      </c>
      <c r="Y163" s="46">
        <f>Y69+Y148</f>
        <v>0</v>
      </c>
      <c r="Z163" s="348"/>
      <c r="AA163" s="2"/>
    </row>
    <row r="164" spans="1:27" ht="15.75" customHeight="1">
      <c r="A164" s="374"/>
      <c r="B164" s="22" t="s">
        <v>28</v>
      </c>
      <c r="C164" s="337"/>
      <c r="D164" s="322"/>
      <c r="E164" s="337"/>
      <c r="F164" s="340"/>
      <c r="G164" s="19">
        <f>SUM(G165:G167)</f>
        <v>0</v>
      </c>
      <c r="H164" s="19">
        <f>SUM(H165:H167)</f>
        <v>0</v>
      </c>
      <c r="I164" s="19">
        <f t="shared" ref="I164:K164" si="98">SUM(I165:I167)</f>
        <v>0</v>
      </c>
      <c r="J164" s="19">
        <f t="shared" si="98"/>
        <v>0</v>
      </c>
      <c r="K164" s="19">
        <f t="shared" si="98"/>
        <v>0</v>
      </c>
      <c r="L164" s="144">
        <f t="shared" ref="L164:O164" si="99">SUM(L165:L167)</f>
        <v>0</v>
      </c>
      <c r="M164" s="240">
        <f t="shared" si="99"/>
        <v>0</v>
      </c>
      <c r="N164" s="240">
        <f t="shared" si="99"/>
        <v>0</v>
      </c>
      <c r="O164" s="240">
        <f t="shared" si="99"/>
        <v>0</v>
      </c>
      <c r="P164" s="240">
        <f t="shared" ref="P164:S164" si="100">SUM(P165:P167)</f>
        <v>0</v>
      </c>
      <c r="Q164" s="240">
        <f t="shared" si="100"/>
        <v>0</v>
      </c>
      <c r="R164" s="240">
        <f t="shared" si="100"/>
        <v>0</v>
      </c>
      <c r="S164" s="240">
        <f t="shared" si="100"/>
        <v>0</v>
      </c>
      <c r="T164" s="25">
        <f t="shared" si="92"/>
        <v>0</v>
      </c>
      <c r="U164" s="240">
        <f t="shared" ref="U164:W164" si="101">SUM(U165:U167)</f>
        <v>0</v>
      </c>
      <c r="V164" s="240">
        <f t="shared" si="101"/>
        <v>0</v>
      </c>
      <c r="W164" s="240">
        <f t="shared" si="101"/>
        <v>0</v>
      </c>
      <c r="X164" s="19">
        <f>SUM(X165:X167)</f>
        <v>0</v>
      </c>
      <c r="Y164" s="19">
        <f>SUM(Y165:Y167)</f>
        <v>0</v>
      </c>
      <c r="Z164" s="348"/>
    </row>
    <row r="165" spans="1:27">
      <c r="A165" s="374"/>
      <c r="B165" s="42" t="s">
        <v>39</v>
      </c>
      <c r="C165" s="337"/>
      <c r="D165" s="322"/>
      <c r="E165" s="337"/>
      <c r="F165" s="340"/>
      <c r="G165" s="46">
        <f t="shared" ref="G165:G171" si="102">SUM(H165:Y165)</f>
        <v>0</v>
      </c>
      <c r="H165" s="46">
        <f>H150+H71</f>
        <v>0</v>
      </c>
      <c r="I165" s="46">
        <f t="shared" ref="I165:K165" si="103">I150+I71</f>
        <v>0</v>
      </c>
      <c r="J165" s="46">
        <f t="shared" si="103"/>
        <v>0</v>
      </c>
      <c r="K165" s="46">
        <f t="shared" si="103"/>
        <v>0</v>
      </c>
      <c r="L165" s="145">
        <f t="shared" ref="L165:O165" si="104">L150+L71</f>
        <v>0</v>
      </c>
      <c r="M165" s="239">
        <f t="shared" si="104"/>
        <v>0</v>
      </c>
      <c r="N165" s="239">
        <f t="shared" si="104"/>
        <v>0</v>
      </c>
      <c r="O165" s="239">
        <f t="shared" si="104"/>
        <v>0</v>
      </c>
      <c r="P165" s="239">
        <f t="shared" ref="P165:S165" si="105">P150+P71</f>
        <v>0</v>
      </c>
      <c r="Q165" s="239">
        <f t="shared" si="105"/>
        <v>0</v>
      </c>
      <c r="R165" s="239">
        <f t="shared" si="105"/>
        <v>0</v>
      </c>
      <c r="S165" s="239">
        <f t="shared" si="105"/>
        <v>0</v>
      </c>
      <c r="T165" s="25">
        <f t="shared" si="92"/>
        <v>0</v>
      </c>
      <c r="U165" s="239">
        <f t="shared" ref="U165:W165" si="106">U150+U71</f>
        <v>0</v>
      </c>
      <c r="V165" s="239">
        <f t="shared" si="106"/>
        <v>0</v>
      </c>
      <c r="W165" s="239">
        <f t="shared" si="106"/>
        <v>0</v>
      </c>
      <c r="X165" s="46">
        <f t="shared" ref="X165:Y167" si="107">X150+X71</f>
        <v>0</v>
      </c>
      <c r="Y165" s="46">
        <f t="shared" si="107"/>
        <v>0</v>
      </c>
      <c r="Z165" s="348"/>
    </row>
    <row r="166" spans="1:27">
      <c r="A166" s="374"/>
      <c r="B166" s="39" t="s">
        <v>30</v>
      </c>
      <c r="C166" s="337"/>
      <c r="D166" s="322"/>
      <c r="E166" s="337"/>
      <c r="F166" s="340"/>
      <c r="G166" s="46">
        <f t="shared" si="102"/>
        <v>0</v>
      </c>
      <c r="H166" s="46">
        <f>H151+H72</f>
        <v>0</v>
      </c>
      <c r="I166" s="46">
        <f t="shared" ref="I166:K166" si="108">I151+I72</f>
        <v>0</v>
      </c>
      <c r="J166" s="46">
        <f t="shared" si="108"/>
        <v>0</v>
      </c>
      <c r="K166" s="46">
        <f t="shared" si="108"/>
        <v>0</v>
      </c>
      <c r="L166" s="145">
        <f t="shared" ref="L166:O166" si="109">L151+L72</f>
        <v>0</v>
      </c>
      <c r="M166" s="239">
        <f t="shared" si="109"/>
        <v>0</v>
      </c>
      <c r="N166" s="239">
        <f t="shared" si="109"/>
        <v>0</v>
      </c>
      <c r="O166" s="239">
        <f t="shared" si="109"/>
        <v>0</v>
      </c>
      <c r="P166" s="239">
        <f t="shared" ref="P166:S166" si="110">P151+P72</f>
        <v>0</v>
      </c>
      <c r="Q166" s="239">
        <f t="shared" si="110"/>
        <v>0</v>
      </c>
      <c r="R166" s="239">
        <f t="shared" si="110"/>
        <v>0</v>
      </c>
      <c r="S166" s="239">
        <f t="shared" si="110"/>
        <v>0</v>
      </c>
      <c r="T166" s="25">
        <f t="shared" si="92"/>
        <v>0</v>
      </c>
      <c r="U166" s="239">
        <f t="shared" ref="U166:W166" si="111">U151+U72</f>
        <v>0</v>
      </c>
      <c r="V166" s="239">
        <f t="shared" si="111"/>
        <v>0</v>
      </c>
      <c r="W166" s="239">
        <f t="shared" si="111"/>
        <v>0</v>
      </c>
      <c r="X166" s="46">
        <f t="shared" si="107"/>
        <v>0</v>
      </c>
      <c r="Y166" s="46">
        <f t="shared" si="107"/>
        <v>0</v>
      </c>
      <c r="Z166" s="348"/>
    </row>
    <row r="167" spans="1:27" ht="15" customHeight="1">
      <c r="A167" s="374"/>
      <c r="B167" s="39" t="s">
        <v>31</v>
      </c>
      <c r="C167" s="337"/>
      <c r="D167" s="322"/>
      <c r="E167" s="337"/>
      <c r="F167" s="340"/>
      <c r="G167" s="46">
        <f t="shared" si="102"/>
        <v>0</v>
      </c>
      <c r="H167" s="46">
        <f>H152+H73</f>
        <v>0</v>
      </c>
      <c r="I167" s="46">
        <f t="shared" ref="I167:K167" si="112">I152+I73</f>
        <v>0</v>
      </c>
      <c r="J167" s="46">
        <f t="shared" si="112"/>
        <v>0</v>
      </c>
      <c r="K167" s="46">
        <f t="shared" si="112"/>
        <v>0</v>
      </c>
      <c r="L167" s="145">
        <f t="shared" ref="L167:O167" si="113">L152+L73</f>
        <v>0</v>
      </c>
      <c r="M167" s="239">
        <f t="shared" si="113"/>
        <v>0</v>
      </c>
      <c r="N167" s="239">
        <f t="shared" si="113"/>
        <v>0</v>
      </c>
      <c r="O167" s="239">
        <f t="shared" si="113"/>
        <v>0</v>
      </c>
      <c r="P167" s="239">
        <f t="shared" ref="P167:S167" si="114">P152+P73</f>
        <v>0</v>
      </c>
      <c r="Q167" s="239">
        <f t="shared" si="114"/>
        <v>0</v>
      </c>
      <c r="R167" s="239">
        <f t="shared" si="114"/>
        <v>0</v>
      </c>
      <c r="S167" s="239">
        <f t="shared" si="114"/>
        <v>0</v>
      </c>
      <c r="T167" s="25">
        <f t="shared" si="92"/>
        <v>0</v>
      </c>
      <c r="U167" s="239">
        <f t="shared" ref="U167:W167" si="115">U152+U73</f>
        <v>0</v>
      </c>
      <c r="V167" s="239">
        <f t="shared" si="115"/>
        <v>0</v>
      </c>
      <c r="W167" s="239">
        <f t="shared" si="115"/>
        <v>0</v>
      </c>
      <c r="X167" s="46">
        <f t="shared" si="107"/>
        <v>0</v>
      </c>
      <c r="Y167" s="46">
        <f t="shared" si="107"/>
        <v>0</v>
      </c>
      <c r="Z167" s="348"/>
    </row>
    <row r="168" spans="1:27" ht="15" customHeight="1">
      <c r="A168" s="374"/>
      <c r="B168" s="22" t="s">
        <v>35</v>
      </c>
      <c r="C168" s="337"/>
      <c r="D168" s="322"/>
      <c r="E168" s="337"/>
      <c r="F168" s="340"/>
      <c r="G168" s="19">
        <f t="shared" si="102"/>
        <v>0</v>
      </c>
      <c r="H168" s="19">
        <f>SUM(H169:H170)</f>
        <v>0</v>
      </c>
      <c r="I168" s="19">
        <f t="shared" ref="I168:K168" si="116">SUM(I169:I170)</f>
        <v>0</v>
      </c>
      <c r="J168" s="19">
        <f t="shared" si="116"/>
        <v>0</v>
      </c>
      <c r="K168" s="19">
        <f t="shared" si="116"/>
        <v>0</v>
      </c>
      <c r="L168" s="144">
        <f t="shared" ref="L168:O168" si="117">SUM(L169:L170)</f>
        <v>0</v>
      </c>
      <c r="M168" s="240">
        <f t="shared" si="117"/>
        <v>0</v>
      </c>
      <c r="N168" s="240">
        <f t="shared" si="117"/>
        <v>0</v>
      </c>
      <c r="O168" s="240">
        <f t="shared" si="117"/>
        <v>0</v>
      </c>
      <c r="P168" s="240">
        <f t="shared" ref="P168:S168" si="118">SUM(P169:P170)</f>
        <v>0</v>
      </c>
      <c r="Q168" s="240">
        <f t="shared" si="118"/>
        <v>0</v>
      </c>
      <c r="R168" s="240">
        <f t="shared" si="118"/>
        <v>0</v>
      </c>
      <c r="S168" s="240">
        <f t="shared" si="118"/>
        <v>0</v>
      </c>
      <c r="T168" s="25">
        <f t="shared" si="92"/>
        <v>0</v>
      </c>
      <c r="U168" s="240">
        <f t="shared" ref="U168:W168" si="119">SUM(U169:U170)</f>
        <v>0</v>
      </c>
      <c r="V168" s="240">
        <f t="shared" si="119"/>
        <v>0</v>
      </c>
      <c r="W168" s="240">
        <f t="shared" si="119"/>
        <v>0</v>
      </c>
      <c r="X168" s="19">
        <f>SUM(X169:X170)</f>
        <v>0</v>
      </c>
      <c r="Y168" s="19">
        <f>SUM(Y169:Y170)</f>
        <v>0</v>
      </c>
      <c r="Z168" s="348"/>
    </row>
    <row r="169" spans="1:27" ht="15" customHeight="1">
      <c r="A169" s="374"/>
      <c r="B169" s="39" t="s">
        <v>53</v>
      </c>
      <c r="C169" s="337"/>
      <c r="D169" s="322"/>
      <c r="E169" s="337"/>
      <c r="F169" s="340"/>
      <c r="G169" s="46">
        <f t="shared" si="102"/>
        <v>0</v>
      </c>
      <c r="H169" s="46">
        <f t="shared" ref="H169:Y170" si="120">H154</f>
        <v>0</v>
      </c>
      <c r="I169" s="46">
        <f t="shared" ref="I169:K169" si="121">I154</f>
        <v>0</v>
      </c>
      <c r="J169" s="46">
        <f t="shared" si="121"/>
        <v>0</v>
      </c>
      <c r="K169" s="46">
        <f t="shared" si="121"/>
        <v>0</v>
      </c>
      <c r="L169" s="145">
        <f t="shared" ref="L169:O169" si="122">L154</f>
        <v>0</v>
      </c>
      <c r="M169" s="239">
        <f t="shared" si="122"/>
        <v>0</v>
      </c>
      <c r="N169" s="239">
        <f t="shared" si="122"/>
        <v>0</v>
      </c>
      <c r="O169" s="239">
        <f t="shared" si="122"/>
        <v>0</v>
      </c>
      <c r="P169" s="239">
        <f t="shared" ref="P169:S169" si="123">P154</f>
        <v>0</v>
      </c>
      <c r="Q169" s="239">
        <f t="shared" si="123"/>
        <v>0</v>
      </c>
      <c r="R169" s="239">
        <f t="shared" si="123"/>
        <v>0</v>
      </c>
      <c r="S169" s="239">
        <f t="shared" si="123"/>
        <v>0</v>
      </c>
      <c r="T169" s="25">
        <f t="shared" si="92"/>
        <v>0</v>
      </c>
      <c r="U169" s="239">
        <f t="shared" ref="U169:W169" si="124">U154</f>
        <v>0</v>
      </c>
      <c r="V169" s="239">
        <f t="shared" si="124"/>
        <v>0</v>
      </c>
      <c r="W169" s="239">
        <f t="shared" si="124"/>
        <v>0</v>
      </c>
      <c r="X169" s="46">
        <f t="shared" si="120"/>
        <v>0</v>
      </c>
      <c r="Y169" s="46">
        <f t="shared" si="120"/>
        <v>0</v>
      </c>
      <c r="Z169" s="348"/>
    </row>
    <row r="170" spans="1:27" ht="15" customHeight="1">
      <c r="A170" s="374"/>
      <c r="B170" s="39" t="s">
        <v>54</v>
      </c>
      <c r="C170" s="337"/>
      <c r="D170" s="322"/>
      <c r="E170" s="337"/>
      <c r="F170" s="340"/>
      <c r="G170" s="46">
        <f t="shared" si="102"/>
        <v>0</v>
      </c>
      <c r="H170" s="46">
        <f t="shared" si="120"/>
        <v>0</v>
      </c>
      <c r="I170" s="46">
        <f t="shared" ref="I170:K170" si="125">I155</f>
        <v>0</v>
      </c>
      <c r="J170" s="46">
        <f t="shared" si="125"/>
        <v>0</v>
      </c>
      <c r="K170" s="46">
        <f t="shared" si="125"/>
        <v>0</v>
      </c>
      <c r="L170" s="145">
        <f t="shared" ref="L170:O170" si="126">L155</f>
        <v>0</v>
      </c>
      <c r="M170" s="239">
        <f t="shared" si="126"/>
        <v>0</v>
      </c>
      <c r="N170" s="239">
        <f t="shared" si="126"/>
        <v>0</v>
      </c>
      <c r="O170" s="239">
        <f t="shared" si="126"/>
        <v>0</v>
      </c>
      <c r="P170" s="239">
        <f t="shared" ref="P170:S170" si="127">P155</f>
        <v>0</v>
      </c>
      <c r="Q170" s="239">
        <f t="shared" si="127"/>
        <v>0</v>
      </c>
      <c r="R170" s="239">
        <f t="shared" si="127"/>
        <v>0</v>
      </c>
      <c r="S170" s="239">
        <f t="shared" si="127"/>
        <v>0</v>
      </c>
      <c r="T170" s="25">
        <f t="shared" si="92"/>
        <v>0</v>
      </c>
      <c r="U170" s="239">
        <f t="shared" ref="U170:W170" si="128">U155</f>
        <v>0</v>
      </c>
      <c r="V170" s="239">
        <f t="shared" si="128"/>
        <v>0</v>
      </c>
      <c r="W170" s="239">
        <f t="shared" si="128"/>
        <v>0</v>
      </c>
      <c r="X170" s="46">
        <f t="shared" si="120"/>
        <v>0</v>
      </c>
      <c r="Y170" s="46">
        <f t="shared" si="120"/>
        <v>0</v>
      </c>
      <c r="Z170" s="348"/>
    </row>
    <row r="171" spans="1:27" ht="15" customHeight="1">
      <c r="A171" s="375"/>
      <c r="B171" s="22" t="s">
        <v>36</v>
      </c>
      <c r="C171" s="338"/>
      <c r="D171" s="323"/>
      <c r="E171" s="338"/>
      <c r="F171" s="341"/>
      <c r="G171" s="19">
        <f t="shared" si="102"/>
        <v>0</v>
      </c>
      <c r="H171" s="19"/>
      <c r="I171" s="19"/>
      <c r="J171" s="19"/>
      <c r="K171" s="19"/>
      <c r="L171" s="144"/>
      <c r="M171" s="240"/>
      <c r="N171" s="240"/>
      <c r="O171" s="240"/>
      <c r="P171" s="240"/>
      <c r="Q171" s="240"/>
      <c r="R171" s="240"/>
      <c r="S171" s="240"/>
      <c r="T171" s="144"/>
      <c r="U171" s="144"/>
      <c r="V171" s="144"/>
      <c r="W171" s="144"/>
      <c r="X171" s="19"/>
      <c r="Y171" s="19"/>
      <c r="Z171" s="349"/>
    </row>
  </sheetData>
  <mergeCells count="213"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86"/>
  <sheetViews>
    <sheetView tabSelected="1" zoomScaleNormal="100" zoomScaleSheetLayoutView="100" workbookViewId="0">
      <pane xSplit="6" ySplit="2" topLeftCell="G458" activePane="bottomRight" state="frozen"/>
      <selection pane="topRight" activeCell="G1" sqref="G1"/>
      <selection pane="bottomLeft" activeCell="A3" sqref="A3"/>
      <selection pane="bottomRight" activeCell="R476" sqref="R476"/>
    </sheetView>
  </sheetViews>
  <sheetFormatPr defaultRowHeight="12.75"/>
  <cols>
    <col min="1" max="1" width="6.5703125" style="123" customWidth="1"/>
    <col min="2" max="2" width="48.85546875" style="123" customWidth="1"/>
    <col min="3" max="3" width="5.28515625" style="123" hidden="1" customWidth="1"/>
    <col min="4" max="4" width="14.28515625" style="123" hidden="1" customWidth="1"/>
    <col min="5" max="5" width="6.42578125" style="123" hidden="1" customWidth="1"/>
    <col min="6" max="6" width="6.28515625" style="123" hidden="1" customWidth="1"/>
    <col min="7" max="7" width="12.42578125" style="124" customWidth="1"/>
    <col min="8" max="8" width="11.42578125" style="124" hidden="1" customWidth="1"/>
    <col min="9" max="9" width="13" style="124" hidden="1" customWidth="1"/>
    <col min="10" max="10" width="13.42578125" style="124" hidden="1" customWidth="1"/>
    <col min="11" max="11" width="15.140625" style="124" hidden="1" customWidth="1"/>
    <col min="12" max="13" width="14.7109375" style="124" hidden="1" customWidth="1"/>
    <col min="14" max="14" width="11.28515625" style="124" hidden="1" customWidth="1"/>
    <col min="15" max="15" width="13.42578125" style="124" hidden="1" customWidth="1"/>
    <col min="16" max="19" width="14.7109375" style="124" customWidth="1"/>
    <col min="20" max="20" width="11.85546875" style="124" hidden="1" customWidth="1"/>
    <col min="21" max="21" width="15.85546875" style="124" hidden="1" customWidth="1"/>
    <col min="22" max="22" width="12" style="124" hidden="1" customWidth="1"/>
    <col min="23" max="23" width="13.85546875" style="124" hidden="1" customWidth="1"/>
    <col min="24" max="24" width="8.85546875" style="124" hidden="1" customWidth="1"/>
    <col min="25" max="25" width="10" style="124" hidden="1" customWidth="1"/>
    <col min="26" max="26" width="14.5703125" style="123" customWidth="1"/>
    <col min="27" max="27" width="11.85546875" style="123" bestFit="1" customWidth="1"/>
    <col min="28" max="16384" width="9.140625" style="123"/>
  </cols>
  <sheetData>
    <row r="1" spans="1:26" ht="35.25" customHeight="1">
      <c r="A1" s="307" t="s">
        <v>15</v>
      </c>
      <c r="B1" s="307" t="s">
        <v>11</v>
      </c>
      <c r="C1" s="307" t="s">
        <v>32</v>
      </c>
      <c r="D1" s="307" t="s">
        <v>33</v>
      </c>
      <c r="E1" s="307" t="s">
        <v>34</v>
      </c>
      <c r="F1" s="307" t="s">
        <v>42</v>
      </c>
      <c r="G1" s="295" t="s">
        <v>145</v>
      </c>
      <c r="H1" s="436" t="s">
        <v>142</v>
      </c>
      <c r="I1" s="437"/>
      <c r="J1" s="437"/>
      <c r="K1" s="438"/>
      <c r="L1" s="290" t="s">
        <v>194</v>
      </c>
      <c r="M1" s="291"/>
      <c r="N1" s="291"/>
      <c r="O1" s="292"/>
      <c r="P1" s="386" t="s">
        <v>235</v>
      </c>
      <c r="Q1" s="387"/>
      <c r="R1" s="387"/>
      <c r="S1" s="388"/>
      <c r="T1" s="389" t="s">
        <v>222</v>
      </c>
      <c r="U1" s="390"/>
      <c r="V1" s="390"/>
      <c r="W1" s="391"/>
      <c r="X1" s="135"/>
      <c r="Y1" s="135"/>
      <c r="Z1" s="307" t="s">
        <v>22</v>
      </c>
    </row>
    <row r="2" spans="1:26" ht="71.25" customHeight="1">
      <c r="A2" s="314"/>
      <c r="B2" s="314"/>
      <c r="C2" s="314"/>
      <c r="D2" s="314"/>
      <c r="E2" s="392"/>
      <c r="F2" s="392"/>
      <c r="G2" s="392"/>
      <c r="H2" s="73" t="s">
        <v>143</v>
      </c>
      <c r="I2" s="73" t="s">
        <v>144</v>
      </c>
      <c r="J2" s="73" t="s">
        <v>192</v>
      </c>
      <c r="K2" s="73" t="s">
        <v>178</v>
      </c>
      <c r="L2" s="73" t="s">
        <v>200</v>
      </c>
      <c r="M2" s="226" t="s">
        <v>144</v>
      </c>
      <c r="N2" s="73" t="s">
        <v>192</v>
      </c>
      <c r="O2" s="73" t="s">
        <v>178</v>
      </c>
      <c r="P2" s="73" t="s">
        <v>200</v>
      </c>
      <c r="Q2" s="278" t="s">
        <v>144</v>
      </c>
      <c r="R2" s="73" t="s">
        <v>192</v>
      </c>
      <c r="S2" s="73" t="s">
        <v>178</v>
      </c>
      <c r="T2" s="73" t="s">
        <v>143</v>
      </c>
      <c r="U2" s="73" t="s">
        <v>144</v>
      </c>
      <c r="V2" s="73" t="s">
        <v>192</v>
      </c>
      <c r="W2" s="73" t="s">
        <v>178</v>
      </c>
      <c r="X2" s="9">
        <v>2012</v>
      </c>
      <c r="Y2" s="9">
        <v>2013</v>
      </c>
      <c r="Z2" s="314"/>
    </row>
    <row r="3" spans="1:26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3</v>
      </c>
      <c r="M3" s="10">
        <v>4</v>
      </c>
      <c r="N3" s="10">
        <v>5</v>
      </c>
      <c r="O3" s="10">
        <v>6</v>
      </c>
      <c r="P3" s="10">
        <v>3</v>
      </c>
      <c r="Q3" s="10">
        <v>4</v>
      </c>
      <c r="R3" s="10">
        <v>5</v>
      </c>
      <c r="S3" s="10">
        <v>6</v>
      </c>
      <c r="T3" s="10"/>
      <c r="U3" s="10"/>
      <c r="V3" s="10"/>
      <c r="W3" s="10"/>
      <c r="X3" s="10">
        <v>9</v>
      </c>
      <c r="Y3" s="10">
        <v>10</v>
      </c>
      <c r="Z3" s="10">
        <v>11</v>
      </c>
    </row>
    <row r="4" spans="1:26" ht="38.25" customHeight="1">
      <c r="A4" s="36">
        <v>2</v>
      </c>
      <c r="B4" s="296" t="s">
        <v>66</v>
      </c>
      <c r="C4" s="439"/>
      <c r="D4" s="439"/>
      <c r="E4" s="439"/>
      <c r="F4" s="439"/>
      <c r="G4" s="440"/>
      <c r="H4" s="11"/>
      <c r="I4" s="11"/>
      <c r="J4" s="11"/>
      <c r="K4" s="11"/>
      <c r="L4" s="184"/>
      <c r="M4" s="11"/>
      <c r="N4" s="11"/>
      <c r="O4" s="11"/>
      <c r="P4" s="184"/>
      <c r="Q4" s="11"/>
      <c r="R4" s="11"/>
      <c r="S4" s="11"/>
      <c r="T4" s="11"/>
      <c r="U4" s="11"/>
      <c r="V4" s="11"/>
      <c r="W4" s="11"/>
      <c r="X4" s="11"/>
      <c r="Y4" s="11"/>
      <c r="Z4" s="37"/>
    </row>
    <row r="5" spans="1:26" ht="14.25">
      <c r="A5" s="36">
        <v>2.1</v>
      </c>
      <c r="B5" s="74" t="s">
        <v>59</v>
      </c>
      <c r="C5" s="54"/>
      <c r="D5" s="54"/>
      <c r="E5" s="55"/>
      <c r="F5" s="55"/>
      <c r="G5" s="5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37"/>
    </row>
    <row r="6" spans="1:26" ht="27" customHeight="1">
      <c r="A6" s="315" t="s">
        <v>67</v>
      </c>
      <c r="B6" s="15" t="s">
        <v>101</v>
      </c>
      <c r="C6" s="312" t="s">
        <v>41</v>
      </c>
      <c r="D6" s="302" t="s">
        <v>45</v>
      </c>
      <c r="E6" s="295">
        <v>60</v>
      </c>
      <c r="F6" s="307" t="s">
        <v>16</v>
      </c>
      <c r="G6" s="24">
        <f t="shared" ref="G6:O6" si="0">G7+G19+G21+G29+G30</f>
        <v>303729.7</v>
      </c>
      <c r="H6" s="24">
        <f t="shared" si="0"/>
        <v>294729.7</v>
      </c>
      <c r="I6" s="24">
        <f t="shared" si="0"/>
        <v>204290.91099999999</v>
      </c>
      <c r="J6" s="24">
        <f t="shared" si="0"/>
        <v>223224.26300000001</v>
      </c>
      <c r="K6" s="24">
        <f t="shared" si="0"/>
        <v>223224.26300000001</v>
      </c>
      <c r="L6" s="24">
        <f t="shared" si="0"/>
        <v>9000</v>
      </c>
      <c r="M6" s="24">
        <f t="shared" si="0"/>
        <v>45309.467000000004</v>
      </c>
      <c r="N6" s="24">
        <f t="shared" si="0"/>
        <v>47394.595000000001</v>
      </c>
      <c r="O6" s="24">
        <f t="shared" si="0"/>
        <v>57589.502000000008</v>
      </c>
      <c r="P6" s="24">
        <f t="shared" ref="P6:S6" si="1">P7+P19+P21+P29+P30</f>
        <v>0</v>
      </c>
      <c r="Q6" s="24">
        <f t="shared" si="1"/>
        <v>916.20399999999995</v>
      </c>
      <c r="R6" s="24">
        <f t="shared" si="1"/>
        <v>25304.483</v>
      </c>
      <c r="S6" s="24">
        <f t="shared" si="1"/>
        <v>30801.460999999999</v>
      </c>
      <c r="T6" s="24">
        <f>H6+L6</f>
        <v>303729.7</v>
      </c>
      <c r="U6" s="24">
        <f>I6+M6+Q6</f>
        <v>250516.58199999999</v>
      </c>
      <c r="V6" s="24">
        <f t="shared" ref="V6:W7" si="2">J6+N6+R6</f>
        <v>295923.34100000001</v>
      </c>
      <c r="W6" s="24">
        <f t="shared" si="2"/>
        <v>311615.22600000002</v>
      </c>
      <c r="X6" s="134"/>
      <c r="Y6" s="134"/>
      <c r="Z6" s="433"/>
    </row>
    <row r="7" spans="1:26">
      <c r="A7" s="316"/>
      <c r="B7" s="13" t="s">
        <v>124</v>
      </c>
      <c r="C7" s="309"/>
      <c r="D7" s="361"/>
      <c r="E7" s="318"/>
      <c r="F7" s="313"/>
      <c r="G7" s="285">
        <v>15339.5</v>
      </c>
      <c r="H7" s="285">
        <v>6339.5</v>
      </c>
      <c r="I7" s="383">
        <f>SUM(I9:I17)</f>
        <v>7466.7139999999999</v>
      </c>
      <c r="J7" s="383">
        <f>SUM(J9:J17)</f>
        <v>1992.6610000000001</v>
      </c>
      <c r="K7" s="383">
        <f>SUM(K9:K17)</f>
        <v>1992.6610000000001</v>
      </c>
      <c r="L7" s="285">
        <v>9000</v>
      </c>
      <c r="M7" s="383">
        <f>SUM(M9:M17)</f>
        <v>3601.308</v>
      </c>
      <c r="N7" s="383">
        <f>SUM(N9:N17)</f>
        <v>30093.835999999999</v>
      </c>
      <c r="O7" s="383">
        <f>SUM(O9:O17)</f>
        <v>40288.74700000001</v>
      </c>
      <c r="P7" s="285">
        <v>0</v>
      </c>
      <c r="Q7" s="383">
        <f>SUM(Q9:Q18)</f>
        <v>916.20399999999995</v>
      </c>
      <c r="R7" s="383">
        <f>SUM(R9:R18)</f>
        <v>25304.483</v>
      </c>
      <c r="S7" s="383">
        <f>SUM(S9:S18)</f>
        <v>30801.460999999999</v>
      </c>
      <c r="T7" s="285">
        <f t="shared" ref="T7:U53" si="3">H7+L7</f>
        <v>15339.5</v>
      </c>
      <c r="U7" s="285">
        <f>I7+M7+Q7</f>
        <v>11984.226000000001</v>
      </c>
      <c r="V7" s="285">
        <f t="shared" si="2"/>
        <v>57390.979999999996</v>
      </c>
      <c r="W7" s="285">
        <f t="shared" si="2"/>
        <v>73082.869000000006</v>
      </c>
      <c r="X7" s="383">
        <f>SUM(X9:X17)</f>
        <v>299.077</v>
      </c>
      <c r="Y7" s="383">
        <f>SUM(Y9:Y17)</f>
        <v>1992.6610000000001</v>
      </c>
      <c r="Z7" s="434"/>
    </row>
    <row r="8" spans="1:26" ht="15" customHeight="1">
      <c r="A8" s="316"/>
      <c r="B8" s="38" t="s">
        <v>25</v>
      </c>
      <c r="C8" s="309"/>
      <c r="D8" s="361"/>
      <c r="E8" s="318"/>
      <c r="F8" s="313"/>
      <c r="G8" s="392"/>
      <c r="H8" s="392"/>
      <c r="I8" s="384"/>
      <c r="J8" s="384"/>
      <c r="K8" s="384"/>
      <c r="L8" s="287"/>
      <c r="M8" s="384"/>
      <c r="N8" s="384"/>
      <c r="O8" s="384"/>
      <c r="P8" s="287"/>
      <c r="Q8" s="384"/>
      <c r="R8" s="384"/>
      <c r="S8" s="384"/>
      <c r="T8" s="287">
        <f t="shared" si="3"/>
        <v>0</v>
      </c>
      <c r="U8" s="287">
        <f t="shared" ref="U8:W9" si="4">I8+M8</f>
        <v>0</v>
      </c>
      <c r="V8" s="287">
        <f t="shared" ref="V8" si="5">J8+N8</f>
        <v>0</v>
      </c>
      <c r="W8" s="287">
        <f t="shared" ref="W8" si="6">K8+O8</f>
        <v>0</v>
      </c>
      <c r="X8" s="384"/>
      <c r="Y8" s="384"/>
      <c r="Z8" s="434"/>
    </row>
    <row r="9" spans="1:26" s="163" customFormat="1" hidden="1">
      <c r="A9" s="316"/>
      <c r="B9" s="109" t="s">
        <v>213</v>
      </c>
      <c r="C9" s="309"/>
      <c r="D9" s="361"/>
      <c r="E9" s="318"/>
      <c r="F9" s="313"/>
      <c r="G9" s="162"/>
      <c r="H9" s="162"/>
      <c r="I9" s="113">
        <v>3.76</v>
      </c>
      <c r="J9" s="78">
        <v>3.7570000000000001</v>
      </c>
      <c r="K9" s="78">
        <v>3.7570000000000001</v>
      </c>
      <c r="L9" s="146"/>
      <c r="M9" s="146">
        <v>31.835000000000001</v>
      </c>
      <c r="N9" s="146">
        <v>31.835000000000001</v>
      </c>
      <c r="O9" s="200">
        <v>31.835000000000001</v>
      </c>
      <c r="P9" s="146"/>
      <c r="Q9" s="247"/>
      <c r="R9" s="146"/>
      <c r="S9" s="200"/>
      <c r="T9" s="192">
        <f t="shared" si="3"/>
        <v>0</v>
      </c>
      <c r="U9" s="192">
        <f>I9+M9+Q9</f>
        <v>35.594999999999999</v>
      </c>
      <c r="V9" s="192">
        <f t="shared" si="4"/>
        <v>35.591999999999999</v>
      </c>
      <c r="W9" s="192">
        <f t="shared" si="4"/>
        <v>35.591999999999999</v>
      </c>
      <c r="X9" s="146"/>
      <c r="Y9" s="80">
        <v>3.7570000000000001</v>
      </c>
      <c r="Z9" s="434"/>
    </row>
    <row r="10" spans="1:26" s="163" customFormat="1" hidden="1">
      <c r="A10" s="316"/>
      <c r="B10" s="69" t="s">
        <v>152</v>
      </c>
      <c r="C10" s="309"/>
      <c r="D10" s="361"/>
      <c r="E10" s="318"/>
      <c r="F10" s="313"/>
      <c r="G10" s="162"/>
      <c r="H10" s="162"/>
      <c r="I10" s="113"/>
      <c r="J10" s="78"/>
      <c r="K10" s="78"/>
      <c r="L10" s="146"/>
      <c r="M10" s="146"/>
      <c r="N10" s="146">
        <v>2.7519999999999998</v>
      </c>
      <c r="O10" s="78">
        <v>2.7519999999999998</v>
      </c>
      <c r="P10" s="146"/>
      <c r="Q10" s="247"/>
      <c r="R10" s="146"/>
      <c r="S10" s="78"/>
      <c r="T10" s="192"/>
      <c r="U10" s="192">
        <f t="shared" ref="U10:U17" si="7">I10+M10+Q10</f>
        <v>0</v>
      </c>
      <c r="V10" s="192"/>
      <c r="W10" s="192"/>
      <c r="X10" s="146"/>
      <c r="Y10" s="80"/>
      <c r="Z10" s="434"/>
    </row>
    <row r="11" spans="1:26" s="163" customFormat="1" hidden="1">
      <c r="A11" s="316"/>
      <c r="B11" s="109" t="s">
        <v>136</v>
      </c>
      <c r="C11" s="309"/>
      <c r="D11" s="361"/>
      <c r="E11" s="318"/>
      <c r="F11" s="313"/>
      <c r="G11" s="162"/>
      <c r="H11" s="162"/>
      <c r="I11" s="113">
        <f>-272.986+271.041+59.61+280.526+44.442+46.583+50.87+113.255+114.822</f>
        <v>708.16300000000001</v>
      </c>
      <c r="J11" s="78"/>
      <c r="K11" s="78"/>
      <c r="L11" s="146"/>
      <c r="M11" s="146"/>
      <c r="N11" s="146"/>
      <c r="O11" s="78"/>
      <c r="P11" s="146"/>
      <c r="Q11" s="247"/>
      <c r="R11" s="146"/>
      <c r="S11" s="78"/>
      <c r="T11" s="192">
        <f t="shared" si="3"/>
        <v>0</v>
      </c>
      <c r="U11" s="192">
        <f t="shared" si="7"/>
        <v>708.16300000000001</v>
      </c>
      <c r="V11" s="192">
        <f t="shared" ref="V11:W14" si="8">J11+N11</f>
        <v>0</v>
      </c>
      <c r="W11" s="192">
        <f t="shared" si="8"/>
        <v>0</v>
      </c>
      <c r="X11" s="146"/>
      <c r="Y11" s="80"/>
      <c r="Z11" s="434"/>
    </row>
    <row r="12" spans="1:26" s="163" customFormat="1" hidden="1">
      <c r="A12" s="316"/>
      <c r="B12" s="109" t="s">
        <v>147</v>
      </c>
      <c r="C12" s="309"/>
      <c r="D12" s="361"/>
      <c r="E12" s="318"/>
      <c r="F12" s="313"/>
      <c r="G12" s="162"/>
      <c r="H12" s="162"/>
      <c r="I12" s="113">
        <f>-231.706+170.754+37.554+186.773+30.332+31.841+34.838+77.563+78.635</f>
        <v>416.584</v>
      </c>
      <c r="J12" s="78"/>
      <c r="K12" s="78"/>
      <c r="L12" s="146"/>
      <c r="M12" s="146"/>
      <c r="N12" s="206">
        <v>117.81100000000001</v>
      </c>
      <c r="O12" s="78">
        <v>117.81100000000001</v>
      </c>
      <c r="P12" s="146"/>
      <c r="Q12" s="247"/>
      <c r="R12" s="206"/>
      <c r="S12" s="78"/>
      <c r="T12" s="192">
        <f t="shared" si="3"/>
        <v>0</v>
      </c>
      <c r="U12" s="192">
        <f t="shared" si="7"/>
        <v>416.584</v>
      </c>
      <c r="V12" s="192">
        <f t="shared" si="8"/>
        <v>117.81100000000001</v>
      </c>
      <c r="W12" s="192">
        <f t="shared" si="8"/>
        <v>117.81100000000001</v>
      </c>
      <c r="X12" s="146"/>
      <c r="Y12" s="80"/>
      <c r="Z12" s="434"/>
    </row>
    <row r="13" spans="1:26" s="163" customFormat="1" hidden="1">
      <c r="A13" s="316"/>
      <c r="B13" s="109" t="s">
        <v>148</v>
      </c>
      <c r="C13" s="309"/>
      <c r="D13" s="361"/>
      <c r="E13" s="318"/>
      <c r="F13" s="313"/>
      <c r="G13" s="162"/>
      <c r="H13" s="162"/>
      <c r="I13" s="113">
        <f>57.203+12.055+12.458+12.787+11.067+12.253+11.471+12.098+11.711+12.916+28.756+29.154</f>
        <v>223.92900000000003</v>
      </c>
      <c r="J13" s="78"/>
      <c r="K13" s="78"/>
      <c r="L13" s="146"/>
      <c r="M13" s="146"/>
      <c r="N13" s="213">
        <v>73.058999999999997</v>
      </c>
      <c r="O13" s="78">
        <v>73.058999999999997</v>
      </c>
      <c r="P13" s="146"/>
      <c r="Q13" s="247"/>
      <c r="R13" s="213"/>
      <c r="S13" s="78"/>
      <c r="T13" s="192">
        <f t="shared" si="3"/>
        <v>0</v>
      </c>
      <c r="U13" s="192">
        <f t="shared" si="7"/>
        <v>223.92900000000003</v>
      </c>
      <c r="V13" s="192">
        <f t="shared" si="8"/>
        <v>73.058999999999997</v>
      </c>
      <c r="W13" s="192">
        <f t="shared" si="8"/>
        <v>73.058999999999997</v>
      </c>
      <c r="X13" s="146"/>
      <c r="Y13" s="80"/>
      <c r="Z13" s="434"/>
    </row>
    <row r="14" spans="1:26" s="163" customFormat="1" hidden="1">
      <c r="A14" s="316"/>
      <c r="B14" s="109" t="s">
        <v>149</v>
      </c>
      <c r="C14" s="309"/>
      <c r="D14" s="361"/>
      <c r="E14" s="318"/>
      <c r="F14" s="313"/>
      <c r="G14" s="162"/>
      <c r="H14" s="162"/>
      <c r="I14" s="113">
        <f>1310.314+2291.932+613.078+6.213-96.159</f>
        <v>4125.3780000000006</v>
      </c>
      <c r="J14" s="78"/>
      <c r="K14" s="78"/>
      <c r="L14" s="146"/>
      <c r="M14" s="146"/>
      <c r="N14" s="206">
        <f>252.919+1059.163-1059.163+684.315+1450.48</f>
        <v>2387.7139999999999</v>
      </c>
      <c r="O14" s="78">
        <f>252.919+1059.163-1059.163+684.315+1450.48</f>
        <v>2387.7139999999999</v>
      </c>
      <c r="P14" s="146"/>
      <c r="Q14" s="247"/>
      <c r="R14" s="78">
        <f>363.623+179.564</f>
        <v>543.18700000000001</v>
      </c>
      <c r="S14" s="78">
        <f>363.623+179.564</f>
        <v>543.18700000000001</v>
      </c>
      <c r="T14" s="192">
        <f t="shared" si="3"/>
        <v>0</v>
      </c>
      <c r="U14" s="192">
        <f t="shared" si="7"/>
        <v>4125.3780000000006</v>
      </c>
      <c r="V14" s="192">
        <f t="shared" si="8"/>
        <v>2387.7139999999999</v>
      </c>
      <c r="W14" s="192">
        <f t="shared" si="8"/>
        <v>2387.7139999999999</v>
      </c>
      <c r="X14" s="146"/>
      <c r="Y14" s="80"/>
      <c r="Z14" s="434"/>
    </row>
    <row r="15" spans="1:26" s="163" customFormat="1" hidden="1">
      <c r="A15" s="316"/>
      <c r="B15" s="109" t="s">
        <v>195</v>
      </c>
      <c r="C15" s="309"/>
      <c r="D15" s="361"/>
      <c r="E15" s="318"/>
      <c r="F15" s="313"/>
      <c r="G15" s="162"/>
      <c r="H15" s="162"/>
      <c r="I15" s="113"/>
      <c r="J15" s="78"/>
      <c r="K15" s="78"/>
      <c r="L15" s="146"/>
      <c r="M15" s="146">
        <f>248.165+74.196+105.329+241.046+220.149+215.927+209.207+238.917+213.351+292.877+247.231+58.3+214.34+224.919+218.823+217.137</f>
        <v>3239.9139999999998</v>
      </c>
      <c r="N15" s="206">
        <f>9249.338+9584.217+8317.55</f>
        <v>27151.105</v>
      </c>
      <c r="O15" s="78">
        <f>9249.338+15309.198-15309.198+9891.128+18205.55</f>
        <v>37346.016000000003</v>
      </c>
      <c r="P15" s="146"/>
      <c r="Q15" s="247">
        <f>349.346+99.339+100.078+93.838+103.01+93.254+77.339</f>
        <v>916.20399999999995</v>
      </c>
      <c r="R15" s="78">
        <f>7841.273+6453.043+10466.98</f>
        <v>24761.295999999998</v>
      </c>
      <c r="S15" s="78">
        <f>14936.818+15321.456</f>
        <v>30258.273999999998</v>
      </c>
      <c r="T15" s="192"/>
      <c r="U15" s="192">
        <f>I15+M15+Q15</f>
        <v>4156.1179999999995</v>
      </c>
      <c r="V15" s="192"/>
      <c r="W15" s="192"/>
      <c r="X15" s="146"/>
      <c r="Y15" s="80"/>
      <c r="Z15" s="434"/>
    </row>
    <row r="16" spans="1:26" s="163" customFormat="1" hidden="1">
      <c r="A16" s="316"/>
      <c r="B16" s="109" t="s">
        <v>150</v>
      </c>
      <c r="C16" s="309"/>
      <c r="D16" s="361"/>
      <c r="E16" s="318"/>
      <c r="F16" s="313"/>
      <c r="G16" s="162"/>
      <c r="H16" s="162"/>
      <c r="I16" s="113">
        <f>31.48+92.232+175.361+114.844+784.915+350.216+439.852</f>
        <v>1988.8999999999996</v>
      </c>
      <c r="J16" s="80">
        <f>31.484+92.232+175.361+1689.827</f>
        <v>1988.904</v>
      </c>
      <c r="K16" s="80">
        <f>31.484+92.232+175.361+1689.827</f>
        <v>1988.904</v>
      </c>
      <c r="L16" s="80"/>
      <c r="M16" s="80">
        <f>110.721+55.902+50.66+18.699+15.254+51.076+14.95+7.897</f>
        <v>325.15899999999999</v>
      </c>
      <c r="N16" s="80">
        <f>110.721+55.902+18.699+51.077+15.254+50.66+14.95+7.897</f>
        <v>325.15999999999997</v>
      </c>
      <c r="O16" s="80">
        <f>110.721+55.902+18.699+51.077+15.254+50.66+14.95+7.897</f>
        <v>325.15999999999997</v>
      </c>
      <c r="P16" s="80"/>
      <c r="Q16" s="248"/>
      <c r="R16" s="80"/>
      <c r="S16" s="80"/>
      <c r="T16" s="192">
        <f t="shared" si="3"/>
        <v>0</v>
      </c>
      <c r="U16" s="192">
        <f t="shared" si="7"/>
        <v>2314.0589999999997</v>
      </c>
      <c r="V16" s="192">
        <f t="shared" ref="V16:W23" si="9">J16+N16</f>
        <v>2314.0639999999999</v>
      </c>
      <c r="W16" s="192">
        <f t="shared" si="9"/>
        <v>2314.0639999999999</v>
      </c>
      <c r="X16" s="80">
        <f>31.484+92.232+175.361</f>
        <v>299.077</v>
      </c>
      <c r="Y16" s="80">
        <f>31.484+92.232+175.361+1689.827</f>
        <v>1988.904</v>
      </c>
      <c r="Z16" s="434"/>
    </row>
    <row r="17" spans="1:26" s="163" customFormat="1" hidden="1">
      <c r="A17" s="316"/>
      <c r="B17" s="109" t="s">
        <v>197</v>
      </c>
      <c r="C17" s="309"/>
      <c r="D17" s="361"/>
      <c r="E17" s="318"/>
      <c r="F17" s="313"/>
      <c r="G17" s="162"/>
      <c r="H17" s="162"/>
      <c r="I17" s="111"/>
      <c r="J17" s="111"/>
      <c r="K17" s="111"/>
      <c r="L17" s="111"/>
      <c r="M17" s="111">
        <f>4.4</f>
        <v>4.4000000000000004</v>
      </c>
      <c r="N17" s="111">
        <v>4.4000000000000004</v>
      </c>
      <c r="O17" s="111">
        <v>4.4000000000000004</v>
      </c>
      <c r="P17" s="111"/>
      <c r="Q17" s="113"/>
      <c r="R17" s="111"/>
      <c r="S17" s="111"/>
      <c r="T17" s="192">
        <f t="shared" si="3"/>
        <v>0</v>
      </c>
      <c r="U17" s="192">
        <f t="shared" si="7"/>
        <v>4.4000000000000004</v>
      </c>
      <c r="V17" s="192">
        <f t="shared" si="9"/>
        <v>4.4000000000000004</v>
      </c>
      <c r="W17" s="192">
        <f t="shared" si="9"/>
        <v>4.4000000000000004</v>
      </c>
      <c r="X17" s="111"/>
      <c r="Y17" s="111"/>
      <c r="Z17" s="434"/>
    </row>
    <row r="18" spans="1:26" s="163" customFormat="1" hidden="1">
      <c r="A18" s="316"/>
      <c r="B18" s="109" t="s">
        <v>230</v>
      </c>
      <c r="C18" s="309"/>
      <c r="D18" s="361"/>
      <c r="E18" s="318"/>
      <c r="F18" s="313"/>
      <c r="G18" s="162"/>
      <c r="H18" s="162"/>
      <c r="I18" s="111"/>
      <c r="J18" s="111"/>
      <c r="K18" s="111"/>
      <c r="L18" s="111"/>
      <c r="M18" s="111"/>
      <c r="N18" s="111"/>
      <c r="O18" s="111"/>
      <c r="P18" s="111"/>
      <c r="Q18" s="113"/>
      <c r="R18" s="111"/>
      <c r="S18" s="111"/>
      <c r="T18" s="192"/>
      <c r="U18" s="192"/>
      <c r="V18" s="192"/>
      <c r="W18" s="192"/>
      <c r="X18" s="111"/>
      <c r="Y18" s="111"/>
      <c r="Z18" s="434"/>
    </row>
    <row r="19" spans="1:26">
      <c r="A19" s="316"/>
      <c r="B19" s="22" t="s">
        <v>27</v>
      </c>
      <c r="C19" s="309"/>
      <c r="D19" s="361"/>
      <c r="E19" s="318"/>
      <c r="F19" s="313"/>
      <c r="G19" s="134">
        <f>SUM(G20)</f>
        <v>0</v>
      </c>
      <c r="H19" s="188">
        <f t="shared" ref="H19:S19" si="10">SUM(H20)</f>
        <v>0</v>
      </c>
      <c r="I19" s="188">
        <f t="shared" si="10"/>
        <v>0</v>
      </c>
      <c r="J19" s="188">
        <f t="shared" si="10"/>
        <v>0</v>
      </c>
      <c r="K19" s="188">
        <f t="shared" si="10"/>
        <v>0</v>
      </c>
      <c r="L19" s="188">
        <f t="shared" si="10"/>
        <v>0</v>
      </c>
      <c r="M19" s="188">
        <f t="shared" si="10"/>
        <v>0</v>
      </c>
      <c r="N19" s="188">
        <f t="shared" si="10"/>
        <v>0</v>
      </c>
      <c r="O19" s="196">
        <f t="shared" si="10"/>
        <v>0</v>
      </c>
      <c r="P19" s="240">
        <f t="shared" si="10"/>
        <v>0</v>
      </c>
      <c r="Q19" s="240">
        <f t="shared" si="10"/>
        <v>0</v>
      </c>
      <c r="R19" s="240">
        <f t="shared" si="10"/>
        <v>0</v>
      </c>
      <c r="S19" s="240">
        <f t="shared" si="10"/>
        <v>0</v>
      </c>
      <c r="T19" s="24">
        <f t="shared" si="3"/>
        <v>0</v>
      </c>
      <c r="U19" s="24">
        <f>I19+M19+Q19</f>
        <v>0</v>
      </c>
      <c r="V19" s="24">
        <f t="shared" si="9"/>
        <v>0</v>
      </c>
      <c r="W19" s="24">
        <f t="shared" si="9"/>
        <v>0</v>
      </c>
      <c r="X19" s="134"/>
      <c r="Y19" s="134"/>
      <c r="Z19" s="434"/>
    </row>
    <row r="20" spans="1:26" s="191" customFormat="1" ht="13.5">
      <c r="A20" s="316"/>
      <c r="B20" s="189" t="s">
        <v>37</v>
      </c>
      <c r="C20" s="309"/>
      <c r="D20" s="361"/>
      <c r="E20" s="318"/>
      <c r="F20" s="313"/>
      <c r="G20" s="142">
        <f>SUM(H20:Y20)</f>
        <v>0</v>
      </c>
      <c r="H20" s="142"/>
      <c r="I20" s="139"/>
      <c r="J20" s="139"/>
      <c r="K20" s="139"/>
      <c r="L20" s="139"/>
      <c r="M20" s="139"/>
      <c r="N20" s="139"/>
      <c r="O20" s="195"/>
      <c r="P20" s="229"/>
      <c r="Q20" s="229"/>
      <c r="R20" s="229"/>
      <c r="S20" s="229"/>
      <c r="T20" s="190">
        <f t="shared" si="3"/>
        <v>0</v>
      </c>
      <c r="U20" s="190">
        <f t="shared" ref="U20" si="11">I20+M20</f>
        <v>0</v>
      </c>
      <c r="V20" s="190">
        <f t="shared" si="9"/>
        <v>0</v>
      </c>
      <c r="W20" s="190">
        <f t="shared" si="9"/>
        <v>0</v>
      </c>
      <c r="X20" s="139"/>
      <c r="Y20" s="139"/>
      <c r="Z20" s="434"/>
    </row>
    <row r="21" spans="1:26">
      <c r="A21" s="316"/>
      <c r="B21" s="22" t="s">
        <v>28</v>
      </c>
      <c r="C21" s="309"/>
      <c r="D21" s="361"/>
      <c r="E21" s="318"/>
      <c r="F21" s="313"/>
      <c r="G21" s="134">
        <f>SUM(G22:G26)</f>
        <v>288390.2</v>
      </c>
      <c r="H21" s="134">
        <f>SUM(H22:H26)</f>
        <v>288390.2</v>
      </c>
      <c r="I21" s="134">
        <f>I22+I24+I26</f>
        <v>196824.19699999999</v>
      </c>
      <c r="J21" s="134">
        <f>J22+J24+J26</f>
        <v>221231.60200000001</v>
      </c>
      <c r="K21" s="134">
        <f>K22+K24+K26</f>
        <v>221231.60200000001</v>
      </c>
      <c r="L21" s="144">
        <f t="shared" ref="L21:O21" si="12">L22+L24+L26</f>
        <v>0</v>
      </c>
      <c r="M21" s="144">
        <f t="shared" si="12"/>
        <v>41708.159000000007</v>
      </c>
      <c r="N21" s="188">
        <f t="shared" si="12"/>
        <v>17300.758999999998</v>
      </c>
      <c r="O21" s="196">
        <f t="shared" si="12"/>
        <v>17300.755000000001</v>
      </c>
      <c r="P21" s="240">
        <f t="shared" ref="P21:S21" si="13">P22+P24+P26</f>
        <v>0</v>
      </c>
      <c r="Q21" s="240">
        <f t="shared" si="13"/>
        <v>0</v>
      </c>
      <c r="R21" s="240">
        <f t="shared" si="13"/>
        <v>0</v>
      </c>
      <c r="S21" s="240">
        <f t="shared" si="13"/>
        <v>0</v>
      </c>
      <c r="T21" s="144">
        <f t="shared" si="3"/>
        <v>288390.2</v>
      </c>
      <c r="U21" s="144">
        <f t="shared" ref="U21:U28" si="14">I21+M21+Q21</f>
        <v>238532.356</v>
      </c>
      <c r="V21" s="268">
        <f t="shared" ref="V21:V22" si="15">J21+N21+R21</f>
        <v>238532.361</v>
      </c>
      <c r="W21" s="268">
        <f t="shared" ref="W21:W22" si="16">K21+O21+S21</f>
        <v>238532.35700000002</v>
      </c>
      <c r="X21" s="134">
        <f>X22+X24+X26</f>
        <v>0</v>
      </c>
      <c r="Y21" s="134">
        <f>Y22+Y24+Y26</f>
        <v>221231.60200000001</v>
      </c>
      <c r="Z21" s="434"/>
    </row>
    <row r="22" spans="1:26">
      <c r="A22" s="316"/>
      <c r="B22" s="39" t="s">
        <v>29</v>
      </c>
      <c r="C22" s="309"/>
      <c r="D22" s="361"/>
      <c r="E22" s="318"/>
      <c r="F22" s="313"/>
      <c r="G22" s="133">
        <f>232349+6600</f>
        <v>238949</v>
      </c>
      <c r="H22" s="133">
        <f>232349+6600</f>
        <v>238949</v>
      </c>
      <c r="I22" s="133">
        <f>SUM(I23)</f>
        <v>154093.06099999999</v>
      </c>
      <c r="J22" s="133">
        <f>SUM(J23)</f>
        <v>176078.77100000001</v>
      </c>
      <c r="K22" s="133">
        <f>SUM(K23)</f>
        <v>176078.77100000001</v>
      </c>
      <c r="L22" s="145">
        <f t="shared" ref="L22:S22" si="17">SUM(L23)</f>
        <v>0</v>
      </c>
      <c r="M22" s="145">
        <f t="shared" si="17"/>
        <v>35366.475000000006</v>
      </c>
      <c r="N22" s="187">
        <f t="shared" si="17"/>
        <v>13380.769</v>
      </c>
      <c r="O22" s="197">
        <f t="shared" si="17"/>
        <v>13380.769</v>
      </c>
      <c r="P22" s="239">
        <f t="shared" si="17"/>
        <v>0</v>
      </c>
      <c r="Q22" s="239">
        <f t="shared" si="17"/>
        <v>0</v>
      </c>
      <c r="R22" s="264">
        <f t="shared" si="17"/>
        <v>0</v>
      </c>
      <c r="S22" s="239">
        <f t="shared" si="17"/>
        <v>0</v>
      </c>
      <c r="T22" s="145">
        <f t="shared" si="3"/>
        <v>238949</v>
      </c>
      <c r="U22" s="145">
        <f t="shared" si="14"/>
        <v>189459.53599999999</v>
      </c>
      <c r="V22" s="266">
        <f t="shared" si="15"/>
        <v>189459.54</v>
      </c>
      <c r="W22" s="266">
        <f t="shared" si="16"/>
        <v>189459.54</v>
      </c>
      <c r="X22" s="133">
        <f>SUM(X23)</f>
        <v>0</v>
      </c>
      <c r="Y22" s="133">
        <f>SUM(Y23)</f>
        <v>176078.77100000001</v>
      </c>
      <c r="Z22" s="434"/>
    </row>
    <row r="23" spans="1:26" hidden="1">
      <c r="A23" s="316"/>
      <c r="B23" s="81" t="s">
        <v>151</v>
      </c>
      <c r="C23" s="309"/>
      <c r="D23" s="361"/>
      <c r="E23" s="318"/>
      <c r="F23" s="313"/>
      <c r="G23" s="133"/>
      <c r="H23" s="133"/>
      <c r="I23" s="82">
        <f>3503.95+2653.66+5838.696+8868.28+5807.809 +17710.946+49290.855+60418.865</f>
        <v>154093.06099999999</v>
      </c>
      <c r="J23" s="83">
        <f>66000+1980+1523.948+2653.66+3869.15+442.392+6349.688+93259.933</f>
        <v>176078.77100000001</v>
      </c>
      <c r="K23" s="85">
        <f>66000+1980+1523.948+2653.66+3869.15+442.392+6349.688+93259.933</f>
        <v>176078.77100000001</v>
      </c>
      <c r="L23" s="85"/>
      <c r="M23" s="85">
        <f>10978.901+6472.207+5167.93+1331.218+1548.215+4311.737+261.973+2820.973+1377.654+672.129+423.538</f>
        <v>35366.475000000006</v>
      </c>
      <c r="N23" s="147">
        <f>1419.802+1331.218+761.739+4311.737+261.978+5294.295</f>
        <v>13380.769</v>
      </c>
      <c r="O23" s="85">
        <f>1419.802+1331.218+761.739+4311.737+261.978+5294.295</f>
        <v>13380.769</v>
      </c>
      <c r="P23" s="85"/>
      <c r="Q23" s="249"/>
      <c r="R23" s="147"/>
      <c r="S23" s="85"/>
      <c r="T23" s="147">
        <f t="shared" si="3"/>
        <v>0</v>
      </c>
      <c r="U23" s="85">
        <f t="shared" si="14"/>
        <v>189459.53599999999</v>
      </c>
      <c r="V23" s="147">
        <f t="shared" si="9"/>
        <v>189459.54</v>
      </c>
      <c r="W23" s="147">
        <f t="shared" si="9"/>
        <v>189459.54</v>
      </c>
      <c r="X23" s="84"/>
      <c r="Y23" s="85">
        <f>66000+1980+1523.948+2653.66+3869.15+442.392+6349.688+93259.933</f>
        <v>176078.77100000001</v>
      </c>
      <c r="Z23" s="434"/>
    </row>
    <row r="24" spans="1:26">
      <c r="A24" s="316"/>
      <c r="B24" s="39" t="s">
        <v>30</v>
      </c>
      <c r="C24" s="309"/>
      <c r="D24" s="361"/>
      <c r="E24" s="318"/>
      <c r="F24" s="313"/>
      <c r="G24" s="133">
        <f>9216.9+680</f>
        <v>9896.9</v>
      </c>
      <c r="H24" s="133">
        <f>9216.9+680</f>
        <v>9896.9</v>
      </c>
      <c r="I24" s="86">
        <f>SUM(I25)</f>
        <v>9896.905999999999</v>
      </c>
      <c r="J24" s="133">
        <f>SUM(J25)</f>
        <v>9896.91</v>
      </c>
      <c r="K24" s="133">
        <f>SUM(K25)</f>
        <v>9896.91</v>
      </c>
      <c r="L24" s="145">
        <f t="shared" ref="L24:S24" si="18">SUM(L25)</f>
        <v>0</v>
      </c>
      <c r="M24" s="145">
        <f t="shared" si="18"/>
        <v>4.0000000000000001E-3</v>
      </c>
      <c r="N24" s="187">
        <f t="shared" si="18"/>
        <v>0</v>
      </c>
      <c r="O24" s="197">
        <f t="shared" si="18"/>
        <v>0</v>
      </c>
      <c r="P24" s="239">
        <f t="shared" si="18"/>
        <v>0</v>
      </c>
      <c r="Q24" s="239">
        <f t="shared" si="18"/>
        <v>0</v>
      </c>
      <c r="R24" s="239">
        <f t="shared" si="18"/>
        <v>0</v>
      </c>
      <c r="S24" s="239">
        <f t="shared" si="18"/>
        <v>0</v>
      </c>
      <c r="T24" s="145">
        <f t="shared" si="3"/>
        <v>9896.9</v>
      </c>
      <c r="U24" s="244">
        <f t="shared" si="14"/>
        <v>9896.91</v>
      </c>
      <c r="V24" s="266">
        <f t="shared" ref="V24" si="19">J24+N24+R24</f>
        <v>9896.91</v>
      </c>
      <c r="W24" s="266">
        <f t="shared" ref="W24" si="20">K24+O24+S24</f>
        <v>9896.91</v>
      </c>
      <c r="X24" s="133">
        <f>SUM(X25)</f>
        <v>0</v>
      </c>
      <c r="Y24" s="133">
        <f>SUM(Y25)</f>
        <v>9896.91</v>
      </c>
      <c r="Z24" s="434"/>
    </row>
    <row r="25" spans="1:26" hidden="1">
      <c r="A25" s="316"/>
      <c r="B25" s="81" t="s">
        <v>151</v>
      </c>
      <c r="C25" s="309"/>
      <c r="D25" s="361"/>
      <c r="E25" s="318"/>
      <c r="F25" s="313"/>
      <c r="G25" s="133"/>
      <c r="H25" s="133"/>
      <c r="I25" s="82">
        <f>583.991+310.072+1478.046+967.968+2951.824+3605.005</f>
        <v>9896.905999999999</v>
      </c>
      <c r="J25" s="83">
        <f>2765.1+583.991+149.844+96.009+1034.632+5267.334</f>
        <v>9896.91</v>
      </c>
      <c r="K25" s="85">
        <f>2765.1+583.991+149.844+96.009+1034.632+5267.334</f>
        <v>9896.91</v>
      </c>
      <c r="L25" s="85"/>
      <c r="M25" s="85">
        <v>4.0000000000000001E-3</v>
      </c>
      <c r="N25" s="147">
        <v>0</v>
      </c>
      <c r="O25" s="85">
        <v>0</v>
      </c>
      <c r="P25" s="85"/>
      <c r="Q25" s="85"/>
      <c r="R25" s="147"/>
      <c r="S25" s="85"/>
      <c r="T25" s="147">
        <f t="shared" si="3"/>
        <v>0</v>
      </c>
      <c r="U25" s="85">
        <f t="shared" si="14"/>
        <v>9896.91</v>
      </c>
      <c r="V25" s="147">
        <f t="shared" ref="V25:V58" si="21">J25+N25</f>
        <v>9896.91</v>
      </c>
      <c r="W25" s="147">
        <f t="shared" ref="W25:W58" si="22">K25+O25</f>
        <v>9896.91</v>
      </c>
      <c r="X25" s="84"/>
      <c r="Y25" s="85">
        <f>2765.1+583.991+149.844+96.009+1034.632+5267.334</f>
        <v>9896.91</v>
      </c>
      <c r="Z25" s="434"/>
    </row>
    <row r="26" spans="1:26">
      <c r="A26" s="316"/>
      <c r="B26" s="39" t="s">
        <v>31</v>
      </c>
      <c r="C26" s="309"/>
      <c r="D26" s="361"/>
      <c r="E26" s="318"/>
      <c r="F26" s="313"/>
      <c r="G26" s="133">
        <f>36867.6+2676.7</f>
        <v>39544.299999999996</v>
      </c>
      <c r="H26" s="133">
        <f>36867.6+2676.7</f>
        <v>39544.299999999996</v>
      </c>
      <c r="I26" s="86">
        <f>SUM(I27)</f>
        <v>32834.229999999996</v>
      </c>
      <c r="J26" s="133">
        <f>SUM(J27:J28)</f>
        <v>35255.921000000002</v>
      </c>
      <c r="K26" s="133">
        <f t="shared" ref="K26:O26" si="23">SUM(K27:K28)</f>
        <v>35255.921000000002</v>
      </c>
      <c r="L26" s="145">
        <f t="shared" si="23"/>
        <v>0</v>
      </c>
      <c r="M26" s="145">
        <f t="shared" si="23"/>
        <v>6341.68</v>
      </c>
      <c r="N26" s="187">
        <f t="shared" si="23"/>
        <v>3919.99</v>
      </c>
      <c r="O26" s="197">
        <f t="shared" si="23"/>
        <v>3919.9859999999999</v>
      </c>
      <c r="P26" s="239">
        <f t="shared" ref="P26:S26" si="24">SUM(P27:P28)</f>
        <v>0</v>
      </c>
      <c r="Q26" s="239">
        <f t="shared" si="24"/>
        <v>0</v>
      </c>
      <c r="R26" s="239">
        <f t="shared" si="24"/>
        <v>0</v>
      </c>
      <c r="S26" s="239">
        <f t="shared" si="24"/>
        <v>0</v>
      </c>
      <c r="T26" s="145">
        <f t="shared" si="3"/>
        <v>39544.299999999996</v>
      </c>
      <c r="U26" s="244">
        <f t="shared" si="14"/>
        <v>39175.909999999996</v>
      </c>
      <c r="V26" s="266">
        <f t="shared" ref="V26" si="25">J26+N26+R26</f>
        <v>39175.911</v>
      </c>
      <c r="W26" s="266">
        <f t="shared" ref="W26" si="26">K26+O26+S26</f>
        <v>39175.906999999999</v>
      </c>
      <c r="X26" s="133">
        <f t="shared" ref="X26:Y26" si="27">SUM(X27:X28)</f>
        <v>0</v>
      </c>
      <c r="Y26" s="133">
        <f t="shared" si="27"/>
        <v>35255.921000000002</v>
      </c>
      <c r="Z26" s="434"/>
    </row>
    <row r="27" spans="1:26" hidden="1">
      <c r="A27" s="316"/>
      <c r="B27" s="81" t="s">
        <v>151</v>
      </c>
      <c r="C27" s="309"/>
      <c r="D27" s="361"/>
      <c r="E27" s="318"/>
      <c r="F27" s="313"/>
      <c r="G27" s="133"/>
      <c r="H27" s="133"/>
      <c r="I27" s="82">
        <f>1751.974+1625.105+4434.14+2903.905+8855.474+13263.632</f>
        <v>32834.229999999996</v>
      </c>
      <c r="J27" s="83">
        <f>8123.33+2676.67+490.286+3241.357+17516.108</f>
        <v>32047.751</v>
      </c>
      <c r="K27" s="85">
        <f>10800+490.286+3241.357+17516.108</f>
        <v>32047.751</v>
      </c>
      <c r="L27" s="85"/>
      <c r="M27" s="85">
        <f>43.33</f>
        <v>43.33</v>
      </c>
      <c r="N27" s="147">
        <f>786.48+43.33</f>
        <v>829.81000000000006</v>
      </c>
      <c r="O27" s="85">
        <f>786.48+43.326</f>
        <v>829.80600000000004</v>
      </c>
      <c r="P27" s="85"/>
      <c r="Q27" s="85"/>
      <c r="R27" s="147"/>
      <c r="S27" s="85"/>
      <c r="T27" s="147">
        <f t="shared" si="3"/>
        <v>0</v>
      </c>
      <c r="U27" s="85">
        <f t="shared" si="14"/>
        <v>32877.56</v>
      </c>
      <c r="V27" s="147">
        <f t="shared" si="21"/>
        <v>32877.561000000002</v>
      </c>
      <c r="W27" s="147">
        <f t="shared" si="22"/>
        <v>32877.557000000001</v>
      </c>
      <c r="X27" s="84"/>
      <c r="Y27" s="85">
        <f>10800+490.286+3241.357+17516.108</f>
        <v>32047.751</v>
      </c>
      <c r="Z27" s="434"/>
    </row>
    <row r="28" spans="1:26" hidden="1">
      <c r="A28" s="316"/>
      <c r="B28" s="69" t="s">
        <v>152</v>
      </c>
      <c r="C28" s="309"/>
      <c r="D28" s="361"/>
      <c r="E28" s="318"/>
      <c r="F28" s="313"/>
      <c r="G28" s="133"/>
      <c r="H28" s="133"/>
      <c r="I28" s="82"/>
      <c r="J28" s="83">
        <v>3208.17</v>
      </c>
      <c r="K28" s="85">
        <v>3208.17</v>
      </c>
      <c r="L28" s="85"/>
      <c r="M28" s="85">
        <v>6298.35</v>
      </c>
      <c r="N28" s="147">
        <v>3090.18</v>
      </c>
      <c r="O28" s="85">
        <f>3090.18</f>
        <v>3090.18</v>
      </c>
      <c r="P28" s="85"/>
      <c r="Q28" s="85"/>
      <c r="R28" s="147"/>
      <c r="S28" s="85"/>
      <c r="T28" s="147">
        <f t="shared" si="3"/>
        <v>0</v>
      </c>
      <c r="U28" s="85">
        <f t="shared" si="14"/>
        <v>6298.35</v>
      </c>
      <c r="V28" s="147">
        <f t="shared" si="21"/>
        <v>6298.35</v>
      </c>
      <c r="W28" s="147">
        <f t="shared" si="22"/>
        <v>6298.35</v>
      </c>
      <c r="X28" s="84"/>
      <c r="Y28" s="85">
        <v>3208.17</v>
      </c>
      <c r="Z28" s="434"/>
    </row>
    <row r="29" spans="1:26">
      <c r="A29" s="316"/>
      <c r="B29" s="22" t="s">
        <v>35</v>
      </c>
      <c r="C29" s="400"/>
      <c r="D29" s="361"/>
      <c r="E29" s="318"/>
      <c r="F29" s="313"/>
      <c r="G29" s="134">
        <f>SUM(H29:Y29)</f>
        <v>0</v>
      </c>
      <c r="H29" s="134"/>
      <c r="I29" s="134"/>
      <c r="J29" s="134"/>
      <c r="K29" s="134"/>
      <c r="L29" s="134"/>
      <c r="M29" s="134"/>
      <c r="N29" s="134"/>
      <c r="O29" s="196"/>
      <c r="P29" s="240"/>
      <c r="Q29" s="240"/>
      <c r="R29" s="240"/>
      <c r="S29" s="240"/>
      <c r="T29" s="144">
        <f t="shared" si="3"/>
        <v>0</v>
      </c>
      <c r="U29" s="144">
        <f t="shared" ref="U29:U63" si="28">I29+M29</f>
        <v>0</v>
      </c>
      <c r="V29" s="144">
        <f t="shared" si="21"/>
        <v>0</v>
      </c>
      <c r="W29" s="144">
        <f t="shared" si="22"/>
        <v>0</v>
      </c>
      <c r="X29" s="134"/>
      <c r="Y29" s="134"/>
      <c r="Z29" s="434"/>
    </row>
    <row r="30" spans="1:26">
      <c r="A30" s="317"/>
      <c r="B30" s="22" t="s">
        <v>36</v>
      </c>
      <c r="C30" s="401"/>
      <c r="D30" s="362"/>
      <c r="E30" s="319"/>
      <c r="F30" s="314"/>
      <c r="G30" s="134">
        <f>SUM(H30:Y30)</f>
        <v>0</v>
      </c>
      <c r="H30" s="134"/>
      <c r="I30" s="134"/>
      <c r="J30" s="134"/>
      <c r="K30" s="134"/>
      <c r="L30" s="134"/>
      <c r="M30" s="134"/>
      <c r="N30" s="134"/>
      <c r="O30" s="196"/>
      <c r="P30" s="240"/>
      <c r="Q30" s="240"/>
      <c r="R30" s="240"/>
      <c r="S30" s="240"/>
      <c r="T30" s="144">
        <f t="shared" si="3"/>
        <v>0</v>
      </c>
      <c r="U30" s="144">
        <f t="shared" si="28"/>
        <v>0</v>
      </c>
      <c r="V30" s="144">
        <f t="shared" si="21"/>
        <v>0</v>
      </c>
      <c r="W30" s="144">
        <f t="shared" si="22"/>
        <v>0</v>
      </c>
      <c r="X30" s="134"/>
      <c r="Y30" s="134"/>
      <c r="Z30" s="435"/>
    </row>
    <row r="31" spans="1:26" ht="37.5" customHeight="1">
      <c r="A31" s="315" t="s">
        <v>83</v>
      </c>
      <c r="B31" s="12" t="s">
        <v>12</v>
      </c>
      <c r="C31" s="312" t="s">
        <v>41</v>
      </c>
      <c r="D31" s="302" t="s">
        <v>45</v>
      </c>
      <c r="E31" s="307">
        <v>60</v>
      </c>
      <c r="F31" s="307" t="s">
        <v>16</v>
      </c>
      <c r="G31" s="24">
        <f t="shared" ref="G31:L31" si="29">G32+G52+G54+G58+G60+G59</f>
        <v>967205.2</v>
      </c>
      <c r="H31" s="24">
        <f t="shared" si="29"/>
        <v>298575</v>
      </c>
      <c r="I31" s="24">
        <f t="shared" si="29"/>
        <v>208803.57799999998</v>
      </c>
      <c r="J31" s="24">
        <f t="shared" si="29"/>
        <v>17741.784</v>
      </c>
      <c r="K31" s="24">
        <f t="shared" si="29"/>
        <v>17741.784</v>
      </c>
      <c r="L31" s="24">
        <f t="shared" si="29"/>
        <v>668630.19999999995</v>
      </c>
      <c r="M31" s="24">
        <f>M32+M58+M59+M60</f>
        <v>52982.663</v>
      </c>
      <c r="N31" s="24">
        <f>N32+N52+N54+N58+N60</f>
        <v>449582.23599999998</v>
      </c>
      <c r="O31" s="24">
        <f>O32+O52+O54+O58+O60</f>
        <v>89647.271999999997</v>
      </c>
      <c r="P31" s="24">
        <f t="shared" ref="P31" si="30">P32+P52+P54+P58+P60+P59</f>
        <v>0</v>
      </c>
      <c r="Q31" s="24">
        <f>Q32+Q58+Q59+Q60</f>
        <v>2526.0120000000002</v>
      </c>
      <c r="R31" s="24">
        <f>R32+R52+R54+R58+R60</f>
        <v>42219.820000000007</v>
      </c>
      <c r="S31" s="24">
        <f>S32+S52+S54+S58+S60</f>
        <v>50694.087</v>
      </c>
      <c r="T31" s="24">
        <f>H31+L31</f>
        <v>967205.2</v>
      </c>
      <c r="U31" s="24">
        <f>I31+M31+Q31</f>
        <v>264312.25299999997</v>
      </c>
      <c r="V31" s="24">
        <f t="shared" ref="V31:W32" si="31">J31+N31+R31</f>
        <v>509543.83999999997</v>
      </c>
      <c r="W31" s="24">
        <f t="shared" si="31"/>
        <v>158083.14299999998</v>
      </c>
      <c r="X31" s="152"/>
      <c r="Y31" s="152"/>
      <c r="Z31" s="433"/>
    </row>
    <row r="32" spans="1:26" ht="12.75" customHeight="1">
      <c r="A32" s="316"/>
      <c r="B32" s="21" t="s">
        <v>122</v>
      </c>
      <c r="C32" s="309"/>
      <c r="D32" s="393"/>
      <c r="E32" s="313"/>
      <c r="F32" s="313"/>
      <c r="G32" s="285">
        <v>506105.2</v>
      </c>
      <c r="H32" s="363">
        <v>9000</v>
      </c>
      <c r="I32" s="383">
        <f>SUM(I34:I46)</f>
        <v>208803.57799999998</v>
      </c>
      <c r="J32" s="383">
        <f t="shared" ref="J32:K32" si="32">SUM(J34:J46)</f>
        <v>17741.784</v>
      </c>
      <c r="K32" s="383">
        <f t="shared" si="32"/>
        <v>17741.784</v>
      </c>
      <c r="L32" s="285">
        <v>497105.2</v>
      </c>
      <c r="M32" s="383">
        <f>SUM(M34:M51)</f>
        <v>26399.826000000001</v>
      </c>
      <c r="N32" s="383">
        <f>SUM(N34:N51)</f>
        <v>53927.066999999995</v>
      </c>
      <c r="O32" s="383">
        <f>SUM(O34:O51)</f>
        <v>72925.868000000002</v>
      </c>
      <c r="P32" s="285">
        <v>0</v>
      </c>
      <c r="Q32" s="383">
        <f>SUM(Q34:Q51)</f>
        <v>2526.0120000000002</v>
      </c>
      <c r="R32" s="383">
        <f>SUM(R34:R51)</f>
        <v>42219.820000000007</v>
      </c>
      <c r="S32" s="383">
        <f>SUM(S34:S51)</f>
        <v>50694.087</v>
      </c>
      <c r="T32" s="285">
        <f t="shared" si="3"/>
        <v>506105.2</v>
      </c>
      <c r="U32" s="285">
        <f>I32+M32+Q32</f>
        <v>237729.41599999997</v>
      </c>
      <c r="V32" s="285">
        <f t="shared" si="31"/>
        <v>113888.671</v>
      </c>
      <c r="W32" s="285">
        <f t="shared" si="31"/>
        <v>141361.739</v>
      </c>
      <c r="X32" s="383">
        <f>SUM(X34:X41)</f>
        <v>587.74800000000005</v>
      </c>
      <c r="Y32" s="383">
        <f>SUM(Y34:Y46)</f>
        <v>20832.667000000001</v>
      </c>
      <c r="Z32" s="434"/>
    </row>
    <row r="33" spans="1:26" ht="12.75" customHeight="1">
      <c r="A33" s="316"/>
      <c r="B33" s="38" t="s">
        <v>25</v>
      </c>
      <c r="C33" s="309"/>
      <c r="D33" s="393"/>
      <c r="E33" s="313"/>
      <c r="F33" s="313"/>
      <c r="G33" s="392"/>
      <c r="H33" s="392"/>
      <c r="I33" s="384"/>
      <c r="J33" s="384"/>
      <c r="K33" s="384"/>
      <c r="L33" s="287"/>
      <c r="M33" s="384"/>
      <c r="N33" s="384"/>
      <c r="O33" s="384"/>
      <c r="P33" s="287"/>
      <c r="Q33" s="384"/>
      <c r="R33" s="384"/>
      <c r="S33" s="384"/>
      <c r="T33" s="287">
        <f t="shared" si="3"/>
        <v>0</v>
      </c>
      <c r="U33" s="287">
        <f t="shared" si="3"/>
        <v>0</v>
      </c>
      <c r="V33" s="287">
        <f t="shared" ref="V33" si="33">J33+N33</f>
        <v>0</v>
      </c>
      <c r="W33" s="287">
        <f t="shared" ref="W33" si="34">K33+O33</f>
        <v>0</v>
      </c>
      <c r="X33" s="384"/>
      <c r="Y33" s="384"/>
      <c r="Z33" s="434"/>
    </row>
    <row r="34" spans="1:26" ht="12.75" hidden="1" customHeight="1">
      <c r="A34" s="316"/>
      <c r="B34" s="69" t="s">
        <v>136</v>
      </c>
      <c r="C34" s="309"/>
      <c r="D34" s="393"/>
      <c r="E34" s="313"/>
      <c r="F34" s="313"/>
      <c r="G34" s="99"/>
      <c r="H34" s="99"/>
      <c r="I34" s="87">
        <f>-421.991+418.983+92.268+433.645+68.79+72.104+78.74+175.303+177.728</f>
        <v>1095.57</v>
      </c>
      <c r="J34" s="88"/>
      <c r="K34" s="88"/>
      <c r="L34" s="89"/>
      <c r="M34" s="85"/>
      <c r="N34" s="89"/>
      <c r="O34" s="201"/>
      <c r="P34" s="89"/>
      <c r="Q34" s="249"/>
      <c r="R34" s="89"/>
      <c r="S34" s="201"/>
      <c r="T34" s="147">
        <f t="shared" si="3"/>
        <v>0</v>
      </c>
      <c r="U34" s="85">
        <f>I34+M34+Q34</f>
        <v>1095.57</v>
      </c>
      <c r="V34" s="147">
        <f t="shared" si="21"/>
        <v>0</v>
      </c>
      <c r="W34" s="147">
        <f t="shared" si="22"/>
        <v>0</v>
      </c>
      <c r="X34" s="89"/>
      <c r="Y34" s="90"/>
      <c r="Z34" s="434"/>
    </row>
    <row r="35" spans="1:26" ht="12.75" hidden="1" customHeight="1">
      <c r="A35" s="316"/>
      <c r="B35" s="69" t="s">
        <v>147</v>
      </c>
      <c r="C35" s="309"/>
      <c r="D35" s="393"/>
      <c r="E35" s="313"/>
      <c r="F35" s="313"/>
      <c r="G35" s="99"/>
      <c r="H35" s="153"/>
      <c r="I35" s="87">
        <f>-358.177+263.958+58.128+288.719+46.949+49.285+53.925+120.056+121.716</f>
        <v>644.55899999999997</v>
      </c>
      <c r="J35" s="91"/>
      <c r="K35" s="91"/>
      <c r="L35" s="92"/>
      <c r="M35" s="85"/>
      <c r="N35" s="205">
        <v>182.345</v>
      </c>
      <c r="O35" s="88">
        <v>182.345</v>
      </c>
      <c r="P35" s="92"/>
      <c r="Q35" s="249"/>
      <c r="R35" s="205"/>
      <c r="S35" s="88"/>
      <c r="T35" s="147">
        <f t="shared" si="3"/>
        <v>0</v>
      </c>
      <c r="U35" s="85">
        <f t="shared" ref="U35:U51" si="35">I35+M35+Q35</f>
        <v>644.55899999999997</v>
      </c>
      <c r="V35" s="147">
        <f t="shared" si="21"/>
        <v>182.345</v>
      </c>
      <c r="W35" s="147">
        <f t="shared" si="22"/>
        <v>182.345</v>
      </c>
      <c r="X35" s="92"/>
      <c r="Y35" s="93"/>
      <c r="Z35" s="434"/>
    </row>
    <row r="36" spans="1:26" ht="12.75" hidden="1" customHeight="1">
      <c r="A36" s="316"/>
      <c r="B36" s="69" t="s">
        <v>148</v>
      </c>
      <c r="C36" s="309"/>
      <c r="D36" s="393"/>
      <c r="E36" s="313"/>
      <c r="F36" s="313"/>
      <c r="G36" s="99"/>
      <c r="H36" s="99"/>
      <c r="I36" s="94">
        <f>88.427+18.659+19.283+19.767+17.108+18.941+17.733+18.701+18.102+19.992+44.51+45.126</f>
        <v>346.34899999999999</v>
      </c>
      <c r="J36" s="91"/>
      <c r="K36" s="91"/>
      <c r="L36" s="92"/>
      <c r="M36" s="85"/>
      <c r="N36" s="214">
        <v>47.203000000000003</v>
      </c>
      <c r="O36" s="88">
        <v>47.203000000000003</v>
      </c>
      <c r="P36" s="92"/>
      <c r="Q36" s="249"/>
      <c r="R36" s="214"/>
      <c r="S36" s="88"/>
      <c r="T36" s="147">
        <f t="shared" si="3"/>
        <v>0</v>
      </c>
      <c r="U36" s="85">
        <f t="shared" si="35"/>
        <v>346.34899999999999</v>
      </c>
      <c r="V36" s="147">
        <f t="shared" si="21"/>
        <v>47.203000000000003</v>
      </c>
      <c r="W36" s="147">
        <f t="shared" si="22"/>
        <v>47.203000000000003</v>
      </c>
      <c r="X36" s="92"/>
      <c r="Y36" s="95"/>
      <c r="Z36" s="434"/>
    </row>
    <row r="37" spans="1:26" ht="12.75" hidden="1" customHeight="1">
      <c r="A37" s="316"/>
      <c r="B37" s="69" t="s">
        <v>153</v>
      </c>
      <c r="C37" s="309"/>
      <c r="D37" s="393"/>
      <c r="E37" s="313"/>
      <c r="F37" s="313"/>
      <c r="G37" s="99"/>
      <c r="H37" s="99"/>
      <c r="I37" s="87">
        <f>2221.155+3877.673+948.183+10.514-148.646</f>
        <v>6908.8789999999999</v>
      </c>
      <c r="J37" s="91"/>
      <c r="K37" s="91"/>
      <c r="L37" s="92"/>
      <c r="M37" s="85"/>
      <c r="N37" s="205">
        <f>391.4+684.315-684.315+1059.163+2245.07</f>
        <v>3695.6330000000003</v>
      </c>
      <c r="O37" s="88">
        <f>391.46+684.315-684.315+1059.163+2245.011</f>
        <v>3695.634</v>
      </c>
      <c r="P37" s="92"/>
      <c r="Q37" s="249"/>
      <c r="R37" s="88">
        <f>562.805+277.923</f>
        <v>840.72799999999995</v>
      </c>
      <c r="S37" s="88">
        <f>562.805+277.923</f>
        <v>840.72799999999995</v>
      </c>
      <c r="T37" s="147">
        <f t="shared" si="3"/>
        <v>0</v>
      </c>
      <c r="U37" s="85">
        <f t="shared" si="35"/>
        <v>6908.8789999999999</v>
      </c>
      <c r="V37" s="147">
        <f t="shared" si="21"/>
        <v>3695.6330000000003</v>
      </c>
      <c r="W37" s="147">
        <f t="shared" si="22"/>
        <v>3695.634</v>
      </c>
      <c r="X37" s="92"/>
      <c r="Y37" s="95"/>
      <c r="Z37" s="434"/>
    </row>
    <row r="38" spans="1:26" ht="12.75" hidden="1" customHeight="1">
      <c r="A38" s="316"/>
      <c r="B38" s="69" t="s">
        <v>196</v>
      </c>
      <c r="C38" s="309"/>
      <c r="D38" s="393"/>
      <c r="E38" s="313"/>
      <c r="F38" s="313"/>
      <c r="G38" s="151"/>
      <c r="H38" s="151"/>
      <c r="I38" s="87"/>
      <c r="J38" s="176"/>
      <c r="K38" s="176"/>
      <c r="L38" s="92"/>
      <c r="M38" s="85">
        <f>384.123+114.844+163.034+373.105+340.76+334.224+323.823+369.81+330.238+453.331+382.678+90.24+331.768+348.142+338.707+336.097</f>
        <v>5014.924</v>
      </c>
      <c r="N38" s="89">
        <f>12842.7+1473.15+6667.12+12872.4+5120-171.1</f>
        <v>38804.270000000004</v>
      </c>
      <c r="O38" s="88">
        <f>14315.854+9891.128-9891.128+15309.198+28178.018</f>
        <v>57803.07</v>
      </c>
      <c r="P38" s="92"/>
      <c r="Q38" s="249">
        <f>540.736+153.763+154.906+145.247+159.45+144.344+119.71</f>
        <v>1418.1560000000002</v>
      </c>
      <c r="R38" s="89">
        <f>12136.493+9987.83+16200.486+33.794</f>
        <v>38358.603000000003</v>
      </c>
      <c r="S38" s="88">
        <f>23118.769+23714.101</f>
        <v>46832.869999999995</v>
      </c>
      <c r="T38" s="147"/>
      <c r="U38" s="85">
        <f t="shared" si="35"/>
        <v>6433.08</v>
      </c>
      <c r="V38" s="147"/>
      <c r="W38" s="147"/>
      <c r="X38" s="92"/>
      <c r="Y38" s="95"/>
      <c r="Z38" s="434"/>
    </row>
    <row r="39" spans="1:26" ht="12.75" hidden="1" customHeight="1">
      <c r="A39" s="316"/>
      <c r="B39" s="69" t="s">
        <v>154</v>
      </c>
      <c r="C39" s="309"/>
      <c r="D39" s="393"/>
      <c r="E39" s="313"/>
      <c r="F39" s="313"/>
      <c r="G39" s="99"/>
      <c r="H39" s="99"/>
      <c r="I39" s="87">
        <v>1618.125</v>
      </c>
      <c r="J39" s="88">
        <v>200</v>
      </c>
      <c r="K39" s="88">
        <v>200</v>
      </c>
      <c r="L39" s="89"/>
      <c r="M39" s="85">
        <f>96.319+82.391+500+2779.626+200+200+200+200</f>
        <v>4258.3360000000002</v>
      </c>
      <c r="N39" s="89">
        <f>809.063+41.196+320.76+200+200+200</f>
        <v>1771.019</v>
      </c>
      <c r="O39" s="88">
        <f>809.063+41.196+320.76+200+200+200</f>
        <v>1771.019</v>
      </c>
      <c r="P39" s="89"/>
      <c r="Q39" s="249"/>
      <c r="R39" s="88"/>
      <c r="S39" s="88"/>
      <c r="T39" s="147">
        <f t="shared" si="3"/>
        <v>0</v>
      </c>
      <c r="U39" s="85">
        <f t="shared" si="35"/>
        <v>5876.4610000000002</v>
      </c>
      <c r="V39" s="147">
        <f t="shared" si="21"/>
        <v>1971.019</v>
      </c>
      <c r="W39" s="147">
        <f t="shared" si="22"/>
        <v>1971.019</v>
      </c>
      <c r="X39" s="92"/>
      <c r="Y39" s="95"/>
      <c r="Z39" s="434"/>
    </row>
    <row r="40" spans="1:26" ht="12.75" hidden="1" customHeight="1">
      <c r="A40" s="316"/>
      <c r="B40" s="69" t="s">
        <v>179</v>
      </c>
      <c r="C40" s="309"/>
      <c r="D40" s="393"/>
      <c r="E40" s="313"/>
      <c r="F40" s="313"/>
      <c r="G40" s="99"/>
      <c r="H40" s="99"/>
      <c r="I40" s="91"/>
      <c r="J40" s="154"/>
      <c r="K40" s="154"/>
      <c r="L40" s="154"/>
      <c r="M40" s="85"/>
      <c r="N40" s="154"/>
      <c r="O40" s="154"/>
      <c r="P40" s="154"/>
      <c r="Q40" s="249"/>
      <c r="R40" s="154"/>
      <c r="S40" s="154"/>
      <c r="T40" s="147">
        <f t="shared" si="3"/>
        <v>0</v>
      </c>
      <c r="U40" s="85">
        <f t="shared" si="35"/>
        <v>0</v>
      </c>
      <c r="V40" s="147">
        <f t="shared" si="21"/>
        <v>0</v>
      </c>
      <c r="W40" s="147">
        <f t="shared" si="22"/>
        <v>0</v>
      </c>
      <c r="X40" s="95">
        <f>293.874+293.874</f>
        <v>587.74800000000005</v>
      </c>
      <c r="Y40" s="95">
        <f>293.874+293.874+391.832+490.405</f>
        <v>1469.9850000000001</v>
      </c>
      <c r="Z40" s="434"/>
    </row>
    <row r="41" spans="1:26" ht="12.75" hidden="1" customHeight="1">
      <c r="A41" s="316"/>
      <c r="B41" s="69" t="s">
        <v>155</v>
      </c>
      <c r="C41" s="309"/>
      <c r="D41" s="393"/>
      <c r="E41" s="313"/>
      <c r="F41" s="313"/>
      <c r="G41" s="99"/>
      <c r="H41" s="99"/>
      <c r="I41" s="96">
        <f>89452.584+108483.531</f>
        <v>197936.11499999999</v>
      </c>
      <c r="J41" s="120">
        <f>7000+1093.715+1000+7988.669</f>
        <v>17082.383999999998</v>
      </c>
      <c r="K41" s="120">
        <f>7000+1093.715+1000+7988.669</f>
        <v>17082.383999999998</v>
      </c>
      <c r="L41" s="148"/>
      <c r="M41" s="85">
        <f>1384.589+266.605+1426.433+935.511+5856.24+6265.357+771.774</f>
        <v>16906.509000000002</v>
      </c>
      <c r="N41" s="148">
        <f>7888.188+649.787+447.899+58.313+151.202</f>
        <v>9195.3889999999992</v>
      </c>
      <c r="O41" s="97">
        <f>7888.188+649.787+447.899+58.313+151.202</f>
        <v>9195.3889999999992</v>
      </c>
      <c r="P41" s="148"/>
      <c r="Q41" s="249"/>
      <c r="R41" s="148"/>
      <c r="S41" s="97"/>
      <c r="T41" s="147">
        <f t="shared" si="3"/>
        <v>0</v>
      </c>
      <c r="U41" s="85">
        <f t="shared" si="35"/>
        <v>214842.62399999998</v>
      </c>
      <c r="V41" s="147">
        <f t="shared" si="21"/>
        <v>26277.772999999997</v>
      </c>
      <c r="W41" s="147">
        <f t="shared" si="22"/>
        <v>26277.772999999997</v>
      </c>
      <c r="X41" s="98"/>
      <c r="Y41" s="97">
        <f>7000+1093.715+1000+7988.669</f>
        <v>17082.383999999998</v>
      </c>
      <c r="Z41" s="434"/>
    </row>
    <row r="42" spans="1:26" ht="12.75" hidden="1" customHeight="1">
      <c r="A42" s="316"/>
      <c r="B42" s="69" t="s">
        <v>203</v>
      </c>
      <c r="C42" s="309"/>
      <c r="D42" s="393"/>
      <c r="E42" s="313"/>
      <c r="F42" s="313"/>
      <c r="G42" s="203"/>
      <c r="H42" s="203"/>
      <c r="I42" s="96"/>
      <c r="J42" s="97"/>
      <c r="K42" s="97"/>
      <c r="L42" s="148"/>
      <c r="M42" s="85"/>
      <c r="N42" s="148"/>
      <c r="O42" s="97"/>
      <c r="P42" s="148"/>
      <c r="Q42" s="249"/>
      <c r="R42" s="148"/>
      <c r="S42" s="97"/>
      <c r="T42" s="147"/>
      <c r="U42" s="85">
        <f t="shared" si="35"/>
        <v>0</v>
      </c>
      <c r="V42" s="147"/>
      <c r="W42" s="147"/>
      <c r="X42" s="98"/>
      <c r="Y42" s="97"/>
      <c r="Z42" s="434"/>
    </row>
    <row r="43" spans="1:26" ht="12.75" hidden="1" customHeight="1">
      <c r="A43" s="316"/>
      <c r="B43" s="69" t="s">
        <v>204</v>
      </c>
      <c r="C43" s="309"/>
      <c r="D43" s="393"/>
      <c r="E43" s="313"/>
      <c r="F43" s="313"/>
      <c r="G43" s="208"/>
      <c r="H43" s="203"/>
      <c r="I43" s="96"/>
      <c r="J43" s="97"/>
      <c r="K43" s="97"/>
      <c r="L43" s="148"/>
      <c r="M43" s="85"/>
      <c r="N43" s="148"/>
      <c r="O43" s="97"/>
      <c r="P43" s="148"/>
      <c r="Q43" s="249"/>
      <c r="R43" s="148"/>
      <c r="S43" s="97"/>
      <c r="T43" s="147"/>
      <c r="U43" s="85">
        <f t="shared" si="35"/>
        <v>0</v>
      </c>
      <c r="V43" s="147"/>
      <c r="W43" s="147"/>
      <c r="X43" s="98"/>
      <c r="Y43" s="97"/>
      <c r="Z43" s="434"/>
    </row>
    <row r="44" spans="1:26" ht="12.75" hidden="1" customHeight="1">
      <c r="A44" s="316"/>
      <c r="B44" s="69" t="s">
        <v>156</v>
      </c>
      <c r="C44" s="309"/>
      <c r="D44" s="393"/>
      <c r="E44" s="313"/>
      <c r="F44" s="313"/>
      <c r="G44" s="99"/>
      <c r="H44" s="99"/>
      <c r="I44" s="96">
        <v>253.98099999999999</v>
      </c>
      <c r="J44" s="97">
        <v>253.98099999999999</v>
      </c>
      <c r="K44" s="97">
        <v>253.98099999999999</v>
      </c>
      <c r="L44" s="148"/>
      <c r="M44" s="85"/>
      <c r="N44" s="148"/>
      <c r="O44" s="97"/>
      <c r="P44" s="148"/>
      <c r="Q44" s="249"/>
      <c r="R44" s="148"/>
      <c r="S44" s="97"/>
      <c r="T44" s="147">
        <f t="shared" si="3"/>
        <v>0</v>
      </c>
      <c r="U44" s="85">
        <f t="shared" si="35"/>
        <v>253.98099999999999</v>
      </c>
      <c r="V44" s="147">
        <f t="shared" si="21"/>
        <v>253.98099999999999</v>
      </c>
      <c r="W44" s="147">
        <f t="shared" si="22"/>
        <v>253.98099999999999</v>
      </c>
      <c r="X44" s="98"/>
      <c r="Y44" s="97">
        <v>253.98099999999999</v>
      </c>
      <c r="Z44" s="434"/>
    </row>
    <row r="45" spans="1:26" ht="12.75" hidden="1" customHeight="1">
      <c r="A45" s="316"/>
      <c r="B45" s="69" t="s">
        <v>157</v>
      </c>
      <c r="C45" s="309"/>
      <c r="D45" s="393"/>
      <c r="E45" s="313"/>
      <c r="F45" s="313"/>
      <c r="G45" s="99"/>
      <c r="H45" s="99"/>
      <c r="I45" s="99"/>
      <c r="J45" s="97">
        <f>222.666-17.247</f>
        <v>205.41899999999998</v>
      </c>
      <c r="K45" s="97">
        <f>222.666-17.247</f>
        <v>205.41899999999998</v>
      </c>
      <c r="L45" s="97"/>
      <c r="M45" s="97"/>
      <c r="N45" s="97"/>
      <c r="O45" s="97"/>
      <c r="P45" s="97"/>
      <c r="Q45" s="250"/>
      <c r="R45" s="97"/>
      <c r="S45" s="97"/>
      <c r="T45" s="147">
        <f t="shared" si="3"/>
        <v>0</v>
      </c>
      <c r="U45" s="85">
        <f t="shared" si="35"/>
        <v>0</v>
      </c>
      <c r="V45" s="147">
        <f t="shared" si="21"/>
        <v>205.41899999999998</v>
      </c>
      <c r="W45" s="147">
        <f t="shared" si="22"/>
        <v>205.41899999999998</v>
      </c>
      <c r="X45" s="97">
        <f>222.666-17.247</f>
        <v>205.41899999999998</v>
      </c>
      <c r="Y45" s="97">
        <f>222.666-17.247</f>
        <v>205.41899999999998</v>
      </c>
      <c r="Z45" s="434"/>
    </row>
    <row r="46" spans="1:26" ht="12.75" hidden="1" customHeight="1">
      <c r="A46" s="316"/>
      <c r="B46" s="69" t="s">
        <v>180</v>
      </c>
      <c r="C46" s="309"/>
      <c r="D46" s="393"/>
      <c r="E46" s="313"/>
      <c r="F46" s="313"/>
      <c r="G46" s="99"/>
      <c r="H46" s="99"/>
      <c r="I46" s="99"/>
      <c r="J46" s="154"/>
      <c r="K46" s="154"/>
      <c r="L46" s="155"/>
      <c r="M46" s="155"/>
      <c r="N46" s="155"/>
      <c r="O46" s="155"/>
      <c r="P46" s="155"/>
      <c r="Q46" s="251"/>
      <c r="R46" s="155"/>
      <c r="S46" s="155"/>
      <c r="T46" s="147">
        <f t="shared" si="3"/>
        <v>0</v>
      </c>
      <c r="U46" s="85">
        <f t="shared" si="35"/>
        <v>0</v>
      </c>
      <c r="V46" s="147">
        <f t="shared" si="21"/>
        <v>0</v>
      </c>
      <c r="W46" s="147">
        <f t="shared" si="22"/>
        <v>0</v>
      </c>
      <c r="X46" s="97">
        <f>660.043+350+442.165+369.69</f>
        <v>1821.8980000000001</v>
      </c>
      <c r="Y46" s="97">
        <f>660.043+350+442.165+368.69</f>
        <v>1820.8980000000001</v>
      </c>
      <c r="Z46" s="434"/>
    </row>
    <row r="47" spans="1:26" ht="12.75" hidden="1" customHeight="1">
      <c r="A47" s="316"/>
      <c r="B47" s="69" t="s">
        <v>201</v>
      </c>
      <c r="C47" s="309"/>
      <c r="D47" s="393"/>
      <c r="E47" s="313"/>
      <c r="F47" s="313"/>
      <c r="G47" s="198"/>
      <c r="H47" s="198"/>
      <c r="I47" s="198"/>
      <c r="J47" s="154"/>
      <c r="K47" s="154"/>
      <c r="L47" s="155"/>
      <c r="M47" s="85">
        <v>220.05699999999999</v>
      </c>
      <c r="N47" s="204">
        <f>98.936+121.121</f>
        <v>220.05700000000002</v>
      </c>
      <c r="O47" s="204">
        <f>98.936+121.121</f>
        <v>220.05700000000002</v>
      </c>
      <c r="P47" s="155"/>
      <c r="Q47" s="249"/>
      <c r="R47" s="204"/>
      <c r="S47" s="204"/>
      <c r="T47" s="147"/>
      <c r="U47" s="85">
        <f t="shared" si="35"/>
        <v>220.05699999999999</v>
      </c>
      <c r="V47" s="147"/>
      <c r="W47" s="147"/>
      <c r="X47" s="97"/>
      <c r="Y47" s="97"/>
      <c r="Z47" s="434"/>
    </row>
    <row r="48" spans="1:26" ht="12.75" hidden="1" customHeight="1">
      <c r="A48" s="316"/>
      <c r="B48" s="69" t="s">
        <v>226</v>
      </c>
      <c r="C48" s="309"/>
      <c r="D48" s="393"/>
      <c r="E48" s="313"/>
      <c r="F48" s="313"/>
      <c r="G48" s="256"/>
      <c r="H48" s="256"/>
      <c r="I48" s="256"/>
      <c r="J48" s="154"/>
      <c r="K48" s="154"/>
      <c r="L48" s="155"/>
      <c r="M48" s="199"/>
      <c r="N48" s="204"/>
      <c r="O48" s="204"/>
      <c r="P48" s="155"/>
      <c r="Q48" s="257">
        <f>392</f>
        <v>392</v>
      </c>
      <c r="R48" s="204">
        <f>96.6+332.9</f>
        <v>429.5</v>
      </c>
      <c r="S48" s="204">
        <f>96.6+332.9</f>
        <v>429.5</v>
      </c>
      <c r="T48" s="147"/>
      <c r="U48" s="85"/>
      <c r="V48" s="147"/>
      <c r="W48" s="147"/>
      <c r="X48" s="97"/>
      <c r="Y48" s="97"/>
      <c r="Z48" s="434"/>
    </row>
    <row r="49" spans="1:26" ht="12.75" hidden="1" customHeight="1">
      <c r="A49" s="316"/>
      <c r="B49" s="69" t="s">
        <v>231</v>
      </c>
      <c r="C49" s="309"/>
      <c r="D49" s="393"/>
      <c r="E49" s="313"/>
      <c r="F49" s="313"/>
      <c r="G49" s="272"/>
      <c r="H49" s="272"/>
      <c r="I49" s="272"/>
      <c r="J49" s="154"/>
      <c r="K49" s="154"/>
      <c r="L49" s="155"/>
      <c r="M49" s="199"/>
      <c r="N49" s="204"/>
      <c r="O49" s="204"/>
      <c r="P49" s="155"/>
      <c r="Q49" s="257">
        <v>715.85599999999999</v>
      </c>
      <c r="R49" s="204">
        <f>1875.133+715.856</f>
        <v>2590.989</v>
      </c>
      <c r="S49" s="204">
        <f>1875.133+715.856</f>
        <v>2590.989</v>
      </c>
      <c r="T49" s="147"/>
      <c r="U49" s="85"/>
      <c r="V49" s="147"/>
      <c r="W49" s="147"/>
      <c r="X49" s="97"/>
      <c r="Y49" s="97"/>
      <c r="Z49" s="434"/>
    </row>
    <row r="50" spans="1:26" ht="12.75" hidden="1" customHeight="1">
      <c r="A50" s="316"/>
      <c r="B50" s="69" t="s">
        <v>232</v>
      </c>
      <c r="C50" s="309"/>
      <c r="D50" s="393"/>
      <c r="E50" s="313"/>
      <c r="F50" s="313"/>
      <c r="G50" s="273"/>
      <c r="H50" s="273"/>
      <c r="I50" s="273"/>
      <c r="J50" s="154"/>
      <c r="K50" s="154"/>
      <c r="L50" s="155"/>
      <c r="M50" s="199"/>
      <c r="N50" s="204"/>
      <c r="O50" s="204"/>
      <c r="P50" s="155"/>
      <c r="Q50" s="257"/>
      <c r="R50" s="204"/>
      <c r="S50" s="204"/>
      <c r="T50" s="147"/>
      <c r="U50" s="85"/>
      <c r="V50" s="147"/>
      <c r="W50" s="147"/>
      <c r="X50" s="97"/>
      <c r="Y50" s="97"/>
      <c r="Z50" s="434"/>
    </row>
    <row r="51" spans="1:26" ht="12.75" hidden="1" customHeight="1">
      <c r="A51" s="316"/>
      <c r="B51" s="109" t="s">
        <v>198</v>
      </c>
      <c r="C51" s="309"/>
      <c r="D51" s="393"/>
      <c r="E51" s="313"/>
      <c r="F51" s="313"/>
      <c r="G51" s="99"/>
      <c r="H51" s="99"/>
      <c r="I51" s="99"/>
      <c r="J51" s="156"/>
      <c r="K51" s="156"/>
      <c r="L51" s="99"/>
      <c r="M51" s="99"/>
      <c r="N51" s="194">
        <v>11.151</v>
      </c>
      <c r="O51" s="194">
        <v>11.151</v>
      </c>
      <c r="P51" s="236"/>
      <c r="Q51" s="153"/>
      <c r="R51" s="194"/>
      <c r="S51" s="194"/>
      <c r="T51" s="147">
        <f t="shared" si="3"/>
        <v>0</v>
      </c>
      <c r="U51" s="85">
        <f t="shared" si="35"/>
        <v>0</v>
      </c>
      <c r="V51" s="147">
        <f t="shared" si="21"/>
        <v>11.151</v>
      </c>
      <c r="W51" s="147">
        <f t="shared" si="22"/>
        <v>11.151</v>
      </c>
      <c r="X51" s="99"/>
      <c r="Y51" s="99"/>
      <c r="Z51" s="434"/>
    </row>
    <row r="52" spans="1:26">
      <c r="A52" s="316"/>
      <c r="B52" s="22" t="s">
        <v>27</v>
      </c>
      <c r="C52" s="309"/>
      <c r="D52" s="393"/>
      <c r="E52" s="313"/>
      <c r="F52" s="313"/>
      <c r="G52" s="134">
        <f>SUM(G53)</f>
        <v>0</v>
      </c>
      <c r="H52" s="99"/>
      <c r="I52" s="99"/>
      <c r="J52" s="156"/>
      <c r="K52" s="156"/>
      <c r="L52" s="134">
        <f>SUM(L53)</f>
        <v>0</v>
      </c>
      <c r="M52" s="188">
        <f t="shared" ref="M52:S52" si="36">SUM(M53)</f>
        <v>0</v>
      </c>
      <c r="N52" s="188">
        <f t="shared" si="36"/>
        <v>0</v>
      </c>
      <c r="O52" s="188">
        <f t="shared" si="36"/>
        <v>0</v>
      </c>
      <c r="P52" s="240">
        <f>SUM(P53)</f>
        <v>0</v>
      </c>
      <c r="Q52" s="240">
        <f t="shared" si="36"/>
        <v>0</v>
      </c>
      <c r="R52" s="240">
        <f t="shared" si="36"/>
        <v>0</v>
      </c>
      <c r="S52" s="240">
        <f t="shared" si="36"/>
        <v>0</v>
      </c>
      <c r="T52" s="144">
        <f t="shared" si="3"/>
        <v>0</v>
      </c>
      <c r="U52" s="144">
        <f>I52+M52+Q52</f>
        <v>0</v>
      </c>
      <c r="V52" s="144">
        <f t="shared" si="21"/>
        <v>0</v>
      </c>
      <c r="W52" s="144">
        <f t="shared" si="22"/>
        <v>0</v>
      </c>
      <c r="X52" s="99"/>
      <c r="Y52" s="99"/>
      <c r="Z52" s="434"/>
    </row>
    <row r="53" spans="1:26">
      <c r="A53" s="316"/>
      <c r="B53" s="42" t="s">
        <v>37</v>
      </c>
      <c r="C53" s="309"/>
      <c r="D53" s="393"/>
      <c r="E53" s="313"/>
      <c r="F53" s="313"/>
      <c r="G53" s="133">
        <f>H53+X53+Y53</f>
        <v>0</v>
      </c>
      <c r="H53" s="133"/>
      <c r="I53" s="133"/>
      <c r="J53" s="133"/>
      <c r="K53" s="133"/>
      <c r="L53" s="133">
        <f>M53+AC53+AD53</f>
        <v>0</v>
      </c>
      <c r="M53" s="133"/>
      <c r="N53" s="133"/>
      <c r="O53" s="133"/>
      <c r="P53" s="239">
        <f>Q53+AG53+AH53</f>
        <v>0</v>
      </c>
      <c r="Q53" s="239"/>
      <c r="R53" s="239"/>
      <c r="S53" s="239"/>
      <c r="T53" s="145">
        <f t="shared" si="3"/>
        <v>0</v>
      </c>
      <c r="U53" s="145">
        <f>I53+M53+Q53</f>
        <v>0</v>
      </c>
      <c r="V53" s="145">
        <f t="shared" si="21"/>
        <v>0</v>
      </c>
      <c r="W53" s="145">
        <f t="shared" si="22"/>
        <v>0</v>
      </c>
      <c r="X53" s="133"/>
      <c r="Y53" s="157"/>
      <c r="Z53" s="434"/>
    </row>
    <row r="54" spans="1:26">
      <c r="A54" s="316"/>
      <c r="B54" s="22" t="s">
        <v>28</v>
      </c>
      <c r="C54" s="309"/>
      <c r="D54" s="393"/>
      <c r="E54" s="313"/>
      <c r="F54" s="313"/>
      <c r="G54" s="134">
        <f>SUM(G55:G57)</f>
        <v>0</v>
      </c>
      <c r="H54" s="158"/>
      <c r="I54" s="158"/>
      <c r="J54" s="158"/>
      <c r="K54" s="158"/>
      <c r="L54" s="134">
        <f>SUM(L55:L57)</f>
        <v>0</v>
      </c>
      <c r="M54" s="188">
        <f t="shared" ref="M54:O54" si="37">SUM(M55:M57)</f>
        <v>0</v>
      </c>
      <c r="N54" s="188">
        <f t="shared" si="37"/>
        <v>0</v>
      </c>
      <c r="O54" s="188">
        <f t="shared" si="37"/>
        <v>0</v>
      </c>
      <c r="P54" s="240">
        <f>SUM(P55:P57)</f>
        <v>0</v>
      </c>
      <c r="Q54" s="240">
        <f t="shared" ref="Q54:S54" si="38">SUM(Q55:Q57)</f>
        <v>0</v>
      </c>
      <c r="R54" s="240">
        <f t="shared" si="38"/>
        <v>0</v>
      </c>
      <c r="S54" s="240">
        <f t="shared" si="38"/>
        <v>0</v>
      </c>
      <c r="T54" s="144">
        <f>H54+L54</f>
        <v>0</v>
      </c>
      <c r="U54" s="244">
        <f t="shared" ref="U54:U60" si="39">I54+M54+Q54</f>
        <v>0</v>
      </c>
      <c r="V54" s="144">
        <f t="shared" si="21"/>
        <v>0</v>
      </c>
      <c r="W54" s="144">
        <f t="shared" si="22"/>
        <v>0</v>
      </c>
      <c r="X54" s="158"/>
      <c r="Y54" s="99"/>
      <c r="Z54" s="434"/>
    </row>
    <row r="55" spans="1:26">
      <c r="A55" s="316"/>
      <c r="B55" s="39" t="s">
        <v>29</v>
      </c>
      <c r="C55" s="309"/>
      <c r="D55" s="393"/>
      <c r="E55" s="313"/>
      <c r="F55" s="313"/>
      <c r="G55" s="133">
        <v>0</v>
      </c>
      <c r="H55" s="157"/>
      <c r="I55" s="157"/>
      <c r="J55" s="157"/>
      <c r="K55" s="157"/>
      <c r="L55" s="133">
        <v>0</v>
      </c>
      <c r="M55" s="157"/>
      <c r="N55" s="157"/>
      <c r="O55" s="157"/>
      <c r="P55" s="239">
        <v>0</v>
      </c>
      <c r="Q55" s="157"/>
      <c r="R55" s="157"/>
      <c r="S55" s="157"/>
      <c r="T55" s="145">
        <f>H55+L55</f>
        <v>0</v>
      </c>
      <c r="U55" s="244">
        <f t="shared" si="39"/>
        <v>0</v>
      </c>
      <c r="V55" s="145">
        <f t="shared" si="21"/>
        <v>0</v>
      </c>
      <c r="W55" s="145">
        <f t="shared" si="22"/>
        <v>0</v>
      </c>
      <c r="X55" s="157"/>
      <c r="Y55" s="159"/>
      <c r="Z55" s="434"/>
    </row>
    <row r="56" spans="1:26">
      <c r="A56" s="316"/>
      <c r="B56" s="39" t="s">
        <v>30</v>
      </c>
      <c r="C56" s="309"/>
      <c r="D56" s="393"/>
      <c r="E56" s="313"/>
      <c r="F56" s="313"/>
      <c r="G56" s="133">
        <v>0</v>
      </c>
      <c r="H56" s="157"/>
      <c r="I56" s="157"/>
      <c r="J56" s="157"/>
      <c r="K56" s="157"/>
      <c r="L56" s="133">
        <v>0</v>
      </c>
      <c r="M56" s="157"/>
      <c r="N56" s="157"/>
      <c r="O56" s="157"/>
      <c r="P56" s="239">
        <v>0</v>
      </c>
      <c r="Q56" s="157"/>
      <c r="R56" s="157"/>
      <c r="S56" s="157"/>
      <c r="T56" s="145">
        <f t="shared" ref="T56:T60" si="40">H56+L56</f>
        <v>0</v>
      </c>
      <c r="U56" s="244">
        <f t="shared" si="39"/>
        <v>0</v>
      </c>
      <c r="V56" s="145">
        <f t="shared" si="21"/>
        <v>0</v>
      </c>
      <c r="W56" s="145">
        <f t="shared" si="22"/>
        <v>0</v>
      </c>
      <c r="X56" s="157"/>
      <c r="Y56" s="159"/>
      <c r="Z56" s="434"/>
    </row>
    <row r="57" spans="1:26">
      <c r="A57" s="316"/>
      <c r="B57" s="39" t="s">
        <v>31</v>
      </c>
      <c r="C57" s="309"/>
      <c r="D57" s="393"/>
      <c r="E57" s="313"/>
      <c r="F57" s="313"/>
      <c r="G57" s="133">
        <v>0</v>
      </c>
      <c r="H57" s="133"/>
      <c r="I57" s="133"/>
      <c r="J57" s="133"/>
      <c r="K57" s="133"/>
      <c r="L57" s="133">
        <v>0</v>
      </c>
      <c r="M57" s="133"/>
      <c r="N57" s="133"/>
      <c r="O57" s="133"/>
      <c r="P57" s="239">
        <v>0</v>
      </c>
      <c r="Q57" s="239"/>
      <c r="R57" s="239"/>
      <c r="S57" s="239"/>
      <c r="T57" s="145">
        <f t="shared" si="40"/>
        <v>0</v>
      </c>
      <c r="U57" s="244">
        <f t="shared" si="39"/>
        <v>0</v>
      </c>
      <c r="V57" s="145">
        <f t="shared" si="21"/>
        <v>0</v>
      </c>
      <c r="W57" s="145">
        <f t="shared" si="22"/>
        <v>0</v>
      </c>
      <c r="X57" s="133"/>
      <c r="Y57" s="159"/>
      <c r="Z57" s="434"/>
    </row>
    <row r="58" spans="1:26">
      <c r="A58" s="316"/>
      <c r="B58" s="22" t="s">
        <v>35</v>
      </c>
      <c r="C58" s="400"/>
      <c r="D58" s="393"/>
      <c r="E58" s="393"/>
      <c r="F58" s="393"/>
      <c r="G58" s="134">
        <v>0</v>
      </c>
      <c r="H58" s="160"/>
      <c r="I58" s="160"/>
      <c r="J58" s="160"/>
      <c r="K58" s="160"/>
      <c r="L58" s="134">
        <v>0</v>
      </c>
      <c r="M58" s="188">
        <v>0</v>
      </c>
      <c r="N58" s="188">
        <v>0</v>
      </c>
      <c r="O58" s="202">
        <v>0</v>
      </c>
      <c r="P58" s="240">
        <v>0</v>
      </c>
      <c r="Q58" s="240">
        <v>0</v>
      </c>
      <c r="R58" s="240">
        <v>0</v>
      </c>
      <c r="S58" s="240">
        <v>0</v>
      </c>
      <c r="T58" s="144">
        <f>H58+L58</f>
        <v>0</v>
      </c>
      <c r="U58" s="244">
        <f t="shared" si="39"/>
        <v>0</v>
      </c>
      <c r="V58" s="144">
        <f t="shared" si="21"/>
        <v>0</v>
      </c>
      <c r="W58" s="144">
        <f t="shared" si="22"/>
        <v>0</v>
      </c>
      <c r="X58" s="59"/>
      <c r="Y58" s="24"/>
      <c r="Z58" s="434"/>
    </row>
    <row r="59" spans="1:26">
      <c r="A59" s="316"/>
      <c r="B59" s="22" t="s">
        <v>36</v>
      </c>
      <c r="C59" s="400"/>
      <c r="D59" s="393"/>
      <c r="E59" s="393"/>
      <c r="F59" s="393"/>
      <c r="G59" s="134">
        <v>75000</v>
      </c>
      <c r="H59" s="160"/>
      <c r="I59" s="160"/>
      <c r="J59" s="160"/>
      <c r="K59" s="160"/>
      <c r="L59" s="161">
        <v>75000</v>
      </c>
      <c r="M59" s="160"/>
      <c r="N59" s="160"/>
      <c r="O59" s="160"/>
      <c r="P59" s="161">
        <v>0</v>
      </c>
      <c r="Q59" s="160"/>
      <c r="R59" s="160"/>
      <c r="S59" s="160"/>
      <c r="T59" s="161">
        <f t="shared" si="40"/>
        <v>75000</v>
      </c>
      <c r="U59" s="243">
        <f t="shared" si="39"/>
        <v>0</v>
      </c>
      <c r="V59" s="268">
        <f t="shared" ref="V59:V62" si="41">J59+N59+R59</f>
        <v>0</v>
      </c>
      <c r="W59" s="268">
        <f t="shared" ref="W59:W62" si="42">K59+O59+S59</f>
        <v>0</v>
      </c>
      <c r="X59" s="59">
        <v>75000</v>
      </c>
      <c r="Y59" s="24"/>
      <c r="Z59" s="434"/>
    </row>
    <row r="60" spans="1:26">
      <c r="A60" s="317"/>
      <c r="B60" s="21" t="s">
        <v>114</v>
      </c>
      <c r="C60" s="401"/>
      <c r="D60" s="392"/>
      <c r="E60" s="392"/>
      <c r="F60" s="392"/>
      <c r="G60" s="134">
        <v>386100</v>
      </c>
      <c r="H60" s="134">
        <v>289575</v>
      </c>
      <c r="I60" s="134"/>
      <c r="J60" s="134"/>
      <c r="K60" s="134"/>
      <c r="L60" s="134">
        <f>G60-H60</f>
        <v>96525</v>
      </c>
      <c r="M60" s="224">
        <f>1481.137+7692.159+7924.628+5197.282+4287.631</f>
        <v>26582.837</v>
      </c>
      <c r="N60" s="227">
        <f>1110.853+5769.119+5943.471+3897.961+378933.765</f>
        <v>395655.16899999999</v>
      </c>
      <c r="O60" s="227">
        <f>1110.853+5769.119+5943.471+3897.961</f>
        <v>16721.403999999999</v>
      </c>
      <c r="P60" s="240">
        <v>0</v>
      </c>
      <c r="Q60" s="240">
        <v>0</v>
      </c>
      <c r="R60" s="240">
        <v>0</v>
      </c>
      <c r="S60" s="240">
        <v>0</v>
      </c>
      <c r="T60" s="144">
        <f t="shared" si="40"/>
        <v>386100</v>
      </c>
      <c r="U60" s="243">
        <f t="shared" si="39"/>
        <v>26582.837</v>
      </c>
      <c r="V60" s="268">
        <f t="shared" si="41"/>
        <v>395655.16899999999</v>
      </c>
      <c r="W60" s="268">
        <f t="shared" si="42"/>
        <v>16721.403999999999</v>
      </c>
      <c r="X60" s="134">
        <v>96525</v>
      </c>
      <c r="Y60" s="24"/>
      <c r="Z60" s="435"/>
    </row>
    <row r="61" spans="1:26" ht="12.75" customHeight="1">
      <c r="A61" s="315" t="s">
        <v>68</v>
      </c>
      <c r="B61" s="15" t="s">
        <v>132</v>
      </c>
      <c r="C61" s="432" t="s">
        <v>41</v>
      </c>
      <c r="D61" s="448" t="s">
        <v>130</v>
      </c>
      <c r="E61" s="285">
        <v>60</v>
      </c>
      <c r="F61" s="300" t="s">
        <v>16</v>
      </c>
      <c r="G61" s="24">
        <f>G62+G73+G75+G79+G80</f>
        <v>9837.7000000000007</v>
      </c>
      <c r="H61" s="24">
        <f>H62+H73+H75+H79+H80</f>
        <v>9837.7000000000007</v>
      </c>
      <c r="I61" s="24">
        <f t="shared" ref="I61:O61" si="43">I62+I73+I75+I79+I80</f>
        <v>8455.1130000000012</v>
      </c>
      <c r="J61" s="24">
        <f t="shared" si="43"/>
        <v>4793.5429999999997</v>
      </c>
      <c r="K61" s="24">
        <f t="shared" si="43"/>
        <v>4793.5429999999997</v>
      </c>
      <c r="L61" s="24">
        <f t="shared" si="43"/>
        <v>0</v>
      </c>
      <c r="M61" s="24">
        <f t="shared" si="43"/>
        <v>0</v>
      </c>
      <c r="N61" s="24">
        <f t="shared" si="43"/>
        <v>0</v>
      </c>
      <c r="O61" s="24">
        <f t="shared" si="43"/>
        <v>0</v>
      </c>
      <c r="P61" s="24">
        <f t="shared" ref="P61:S61" si="44">P62+P73+P75+P79+P80</f>
        <v>0</v>
      </c>
      <c r="Q61" s="24">
        <f t="shared" si="44"/>
        <v>0</v>
      </c>
      <c r="R61" s="24">
        <f t="shared" si="44"/>
        <v>0</v>
      </c>
      <c r="S61" s="24">
        <f t="shared" si="44"/>
        <v>0</v>
      </c>
      <c r="T61" s="24">
        <f>H61+L61</f>
        <v>9837.7000000000007</v>
      </c>
      <c r="U61" s="24">
        <f>I61+M61+Q61</f>
        <v>8455.1130000000012</v>
      </c>
      <c r="V61" s="24">
        <f t="shared" si="41"/>
        <v>4793.5429999999997</v>
      </c>
      <c r="W61" s="24">
        <f t="shared" si="42"/>
        <v>4793.5429999999997</v>
      </c>
      <c r="X61" s="134"/>
      <c r="Y61" s="134"/>
      <c r="Z61" s="329"/>
    </row>
    <row r="62" spans="1:26">
      <c r="A62" s="316"/>
      <c r="B62" s="21" t="s">
        <v>26</v>
      </c>
      <c r="C62" s="331"/>
      <c r="D62" s="454"/>
      <c r="E62" s="456"/>
      <c r="F62" s="366"/>
      <c r="G62" s="285">
        <f>SUM(H62)</f>
        <v>9837.7000000000007</v>
      </c>
      <c r="H62" s="285">
        <v>9837.7000000000007</v>
      </c>
      <c r="I62" s="285">
        <f>SUM(I69:I72)</f>
        <v>8455.1130000000012</v>
      </c>
      <c r="J62" s="285">
        <f>SUM(J69:J72)</f>
        <v>4793.5429999999997</v>
      </c>
      <c r="K62" s="285">
        <f>SUM(K69:K72)</f>
        <v>4793.5429999999997</v>
      </c>
      <c r="L62" s="285">
        <v>0</v>
      </c>
      <c r="M62" s="128"/>
      <c r="N62" s="128"/>
      <c r="O62" s="128"/>
      <c r="P62" s="285">
        <v>0</v>
      </c>
      <c r="Q62" s="285">
        <v>0</v>
      </c>
      <c r="R62" s="285">
        <v>0</v>
      </c>
      <c r="S62" s="285">
        <v>0</v>
      </c>
      <c r="T62" s="285">
        <f t="shared" ref="T62:T63" si="45">H62+L62</f>
        <v>9837.7000000000007</v>
      </c>
      <c r="U62" s="285">
        <f>I62+M62+Q62</f>
        <v>8455.1130000000012</v>
      </c>
      <c r="V62" s="285">
        <f t="shared" si="41"/>
        <v>4793.5429999999997</v>
      </c>
      <c r="W62" s="285">
        <f t="shared" si="42"/>
        <v>4793.5429999999997</v>
      </c>
      <c r="X62" s="285"/>
      <c r="Y62" s="285"/>
      <c r="Z62" s="393"/>
    </row>
    <row r="63" spans="1:26">
      <c r="A63" s="316"/>
      <c r="B63" s="38" t="s">
        <v>25</v>
      </c>
      <c r="C63" s="331"/>
      <c r="D63" s="454"/>
      <c r="E63" s="456"/>
      <c r="F63" s="366"/>
      <c r="G63" s="392"/>
      <c r="H63" s="287"/>
      <c r="I63" s="287"/>
      <c r="J63" s="287"/>
      <c r="K63" s="287"/>
      <c r="L63" s="287"/>
      <c r="M63" s="130"/>
      <c r="N63" s="130"/>
      <c r="O63" s="130"/>
      <c r="P63" s="287"/>
      <c r="Q63" s="287"/>
      <c r="R63" s="287"/>
      <c r="S63" s="287"/>
      <c r="T63" s="287">
        <f t="shared" si="45"/>
        <v>0</v>
      </c>
      <c r="U63" s="287">
        <f t="shared" si="28"/>
        <v>0</v>
      </c>
      <c r="V63" s="287">
        <f t="shared" ref="V63" si="46">J63+N63</f>
        <v>0</v>
      </c>
      <c r="W63" s="287">
        <f t="shared" ref="W63" si="47">K63+O63</f>
        <v>0</v>
      </c>
      <c r="X63" s="287"/>
      <c r="Y63" s="287"/>
      <c r="Z63" s="393"/>
    </row>
    <row r="64" spans="1:26" ht="12.75" hidden="1" customHeight="1">
      <c r="A64" s="316"/>
      <c r="B64" s="69" t="s">
        <v>135</v>
      </c>
      <c r="C64" s="331"/>
      <c r="D64" s="454"/>
      <c r="E64" s="456"/>
      <c r="F64" s="366"/>
      <c r="G64" s="99"/>
      <c r="H64" s="70">
        <v>303.26</v>
      </c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130"/>
      <c r="Y64" s="130"/>
      <c r="Z64" s="393"/>
    </row>
    <row r="65" spans="1:26" ht="12.75" hidden="1" customHeight="1">
      <c r="A65" s="316"/>
      <c r="B65" s="69" t="s">
        <v>136</v>
      </c>
      <c r="C65" s="331"/>
      <c r="D65" s="454"/>
      <c r="E65" s="456"/>
      <c r="F65" s="366"/>
      <c r="G65" s="99"/>
      <c r="H65" s="70">
        <f>-919.371+912.82+196.99+198.681+155.912+152.136+142.429+150.207+145.399+146.865+153.941</f>
        <v>1436.009</v>
      </c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130"/>
      <c r="Y65" s="130"/>
      <c r="Z65" s="393"/>
    </row>
    <row r="66" spans="1:26" ht="12.75" hidden="1" customHeight="1">
      <c r="A66" s="316"/>
      <c r="B66" s="69" t="s">
        <v>137</v>
      </c>
      <c r="C66" s="331"/>
      <c r="D66" s="454"/>
      <c r="E66" s="456"/>
      <c r="F66" s="366"/>
      <c r="G66" s="99"/>
      <c r="H66" s="70">
        <f>-780.345+575.072+124.103+125.168+101.058+103.833+97.208+102.516+99.235+105.222+100.236</f>
        <v>753.30599999999993</v>
      </c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130"/>
      <c r="Y66" s="130"/>
      <c r="Z66" s="393"/>
    </row>
    <row r="67" spans="1:26" ht="12.75" hidden="1" customHeight="1">
      <c r="A67" s="316"/>
      <c r="B67" s="69" t="s">
        <v>138</v>
      </c>
      <c r="C67" s="331"/>
      <c r="D67" s="454"/>
      <c r="E67" s="456"/>
      <c r="F67" s="366"/>
      <c r="G67" s="99"/>
      <c r="H67" s="70">
        <f>192.652+39.837+41.169+43.065+37.273+41.266+38.633+40.743+39.439</f>
        <v>514.077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130"/>
      <c r="Y67" s="130"/>
      <c r="Z67" s="393"/>
    </row>
    <row r="68" spans="1:26" ht="12.75" hidden="1" customHeight="1">
      <c r="A68" s="316"/>
      <c r="B68" s="69" t="s">
        <v>139</v>
      </c>
      <c r="C68" s="331"/>
      <c r="D68" s="454"/>
      <c r="E68" s="456"/>
      <c r="F68" s="366"/>
      <c r="G68" s="99"/>
      <c r="H68" s="70">
        <f>1102.208+718.69+1700</f>
        <v>3520.8980000000001</v>
      </c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130"/>
      <c r="Y68" s="130"/>
      <c r="Z68" s="393"/>
    </row>
    <row r="69" spans="1:26" s="163" customFormat="1" ht="13.5" hidden="1" customHeight="1">
      <c r="A69" s="316"/>
      <c r="B69" s="109" t="s">
        <v>135</v>
      </c>
      <c r="C69" s="331"/>
      <c r="D69" s="454"/>
      <c r="E69" s="456"/>
      <c r="F69" s="366"/>
      <c r="G69" s="162"/>
      <c r="H69" s="111"/>
      <c r="I69" s="113">
        <v>303.26</v>
      </c>
      <c r="J69" s="95">
        <f>293.874+293.874+391.832+490.405</f>
        <v>1469.9850000000001</v>
      </c>
      <c r="K69" s="95">
        <f>293.874+293.874+391.832+490.405</f>
        <v>1469.9850000000001</v>
      </c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112"/>
      <c r="Y69" s="112"/>
      <c r="Z69" s="393"/>
    </row>
    <row r="70" spans="1:26" s="163" customFormat="1" ht="13.5" hidden="1" customHeight="1">
      <c r="A70" s="316"/>
      <c r="B70" s="109" t="s">
        <v>167</v>
      </c>
      <c r="C70" s="331"/>
      <c r="D70" s="454"/>
      <c r="E70" s="456"/>
      <c r="F70" s="366"/>
      <c r="G70" s="162"/>
      <c r="H70" s="111"/>
      <c r="I70" s="113">
        <v>4828.2950000000001</v>
      </c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2"/>
      <c r="Y70" s="112"/>
      <c r="Z70" s="393"/>
    </row>
    <row r="71" spans="1:26" s="163" customFormat="1" ht="13.5" hidden="1" customHeight="1">
      <c r="A71" s="316"/>
      <c r="B71" s="109" t="s">
        <v>177</v>
      </c>
      <c r="C71" s="331"/>
      <c r="D71" s="454"/>
      <c r="E71" s="456"/>
      <c r="F71" s="366"/>
      <c r="G71" s="162"/>
      <c r="H71" s="111"/>
      <c r="I71" s="113">
        <f>1102.208+718.69+1502.66</f>
        <v>3323.558</v>
      </c>
      <c r="J71" s="97">
        <f>660.043+350+442.165+368.69+500+1002.66</f>
        <v>3323.558</v>
      </c>
      <c r="K71" s="97">
        <f>660.043+350+442.165+368.69+500+1002.66</f>
        <v>3323.558</v>
      </c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112"/>
      <c r="Y71" s="112"/>
      <c r="Z71" s="393"/>
    </row>
    <row r="72" spans="1:26" s="163" customFormat="1" ht="13.5" hidden="1" customHeight="1">
      <c r="A72" s="316"/>
      <c r="B72" s="109"/>
      <c r="C72" s="331"/>
      <c r="D72" s="454"/>
      <c r="E72" s="456"/>
      <c r="F72" s="366"/>
      <c r="G72" s="162"/>
      <c r="H72" s="111"/>
      <c r="I72" s="113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2"/>
      <c r="Y72" s="112"/>
      <c r="Z72" s="393"/>
    </row>
    <row r="73" spans="1:26">
      <c r="A73" s="316"/>
      <c r="B73" s="22" t="s">
        <v>27</v>
      </c>
      <c r="C73" s="331"/>
      <c r="D73" s="454"/>
      <c r="E73" s="456"/>
      <c r="F73" s="366"/>
      <c r="G73" s="134">
        <v>0</v>
      </c>
      <c r="H73" s="130"/>
      <c r="I73" s="130"/>
      <c r="J73" s="130"/>
      <c r="K73" s="130"/>
      <c r="L73" s="134">
        <v>0</v>
      </c>
      <c r="M73" s="130"/>
      <c r="N73" s="130"/>
      <c r="O73" s="130"/>
      <c r="P73" s="240">
        <v>0</v>
      </c>
      <c r="Q73" s="233"/>
      <c r="R73" s="233"/>
      <c r="S73" s="233"/>
      <c r="T73" s="144">
        <f>H73+L73</f>
        <v>0</v>
      </c>
      <c r="U73" s="144">
        <f>I73+M73+Q73</f>
        <v>0</v>
      </c>
      <c r="V73" s="144">
        <f t="shared" ref="U73:W88" si="48">J73+N73</f>
        <v>0</v>
      </c>
      <c r="W73" s="144">
        <f t="shared" si="48"/>
        <v>0</v>
      </c>
      <c r="X73" s="130"/>
      <c r="Y73" s="130"/>
      <c r="Z73" s="393"/>
    </row>
    <row r="74" spans="1:26">
      <c r="A74" s="316"/>
      <c r="B74" s="39" t="s">
        <v>37</v>
      </c>
      <c r="C74" s="331"/>
      <c r="D74" s="454"/>
      <c r="E74" s="456"/>
      <c r="F74" s="366"/>
      <c r="G74" s="133">
        <v>0</v>
      </c>
      <c r="H74" s="130"/>
      <c r="I74" s="130"/>
      <c r="J74" s="130"/>
      <c r="K74" s="130"/>
      <c r="L74" s="133">
        <v>0</v>
      </c>
      <c r="M74" s="130"/>
      <c r="N74" s="130"/>
      <c r="O74" s="130"/>
      <c r="P74" s="239">
        <v>0</v>
      </c>
      <c r="Q74" s="233"/>
      <c r="R74" s="233"/>
      <c r="S74" s="233"/>
      <c r="T74" s="145">
        <f t="shared" ref="T74:T91" si="49">H74+L74</f>
        <v>0</v>
      </c>
      <c r="U74" s="145">
        <f>I74+M74+Q74</f>
        <v>0</v>
      </c>
      <c r="V74" s="145">
        <f t="shared" si="48"/>
        <v>0</v>
      </c>
      <c r="W74" s="145">
        <f t="shared" si="48"/>
        <v>0</v>
      </c>
      <c r="X74" s="130"/>
      <c r="Y74" s="130"/>
      <c r="Z74" s="393"/>
    </row>
    <row r="75" spans="1:26">
      <c r="A75" s="316"/>
      <c r="B75" s="22" t="s">
        <v>28</v>
      </c>
      <c r="C75" s="331"/>
      <c r="D75" s="454"/>
      <c r="E75" s="456"/>
      <c r="F75" s="366"/>
      <c r="G75" s="134">
        <v>0</v>
      </c>
      <c r="H75" s="130"/>
      <c r="I75" s="130"/>
      <c r="J75" s="130"/>
      <c r="K75" s="130"/>
      <c r="L75" s="134">
        <v>0</v>
      </c>
      <c r="M75" s="130"/>
      <c r="N75" s="130"/>
      <c r="O75" s="130"/>
      <c r="P75" s="240">
        <v>0</v>
      </c>
      <c r="Q75" s="233"/>
      <c r="R75" s="233"/>
      <c r="S75" s="233"/>
      <c r="T75" s="144">
        <f t="shared" si="49"/>
        <v>0</v>
      </c>
      <c r="U75" s="144">
        <f>I75+M75+Q75</f>
        <v>0</v>
      </c>
      <c r="V75" s="144">
        <f t="shared" si="48"/>
        <v>0</v>
      </c>
      <c r="W75" s="144">
        <f t="shared" si="48"/>
        <v>0</v>
      </c>
      <c r="X75" s="130"/>
      <c r="Y75" s="130"/>
      <c r="Z75" s="393"/>
    </row>
    <row r="76" spans="1:26">
      <c r="A76" s="316"/>
      <c r="B76" s="39" t="s">
        <v>29</v>
      </c>
      <c r="C76" s="400"/>
      <c r="D76" s="454"/>
      <c r="E76" s="456"/>
      <c r="F76" s="366"/>
      <c r="G76" s="133">
        <v>0</v>
      </c>
      <c r="H76" s="134"/>
      <c r="I76" s="134"/>
      <c r="J76" s="134"/>
      <c r="K76" s="134"/>
      <c r="L76" s="133">
        <v>0</v>
      </c>
      <c r="M76" s="134"/>
      <c r="N76" s="134"/>
      <c r="O76" s="134"/>
      <c r="P76" s="239">
        <v>0</v>
      </c>
      <c r="Q76" s="240"/>
      <c r="R76" s="240"/>
      <c r="S76" s="240"/>
      <c r="T76" s="145">
        <f t="shared" si="49"/>
        <v>0</v>
      </c>
      <c r="U76" s="145">
        <f>I76+M76+Q76</f>
        <v>0</v>
      </c>
      <c r="V76" s="145">
        <f t="shared" si="48"/>
        <v>0</v>
      </c>
      <c r="W76" s="145">
        <f t="shared" si="48"/>
        <v>0</v>
      </c>
      <c r="X76" s="134"/>
      <c r="Y76" s="134"/>
      <c r="Z76" s="393"/>
    </row>
    <row r="77" spans="1:26">
      <c r="A77" s="316"/>
      <c r="B77" s="39" t="s">
        <v>30</v>
      </c>
      <c r="C77" s="400"/>
      <c r="D77" s="454"/>
      <c r="E77" s="456"/>
      <c r="F77" s="366"/>
      <c r="G77" s="133">
        <v>0</v>
      </c>
      <c r="H77" s="134"/>
      <c r="I77" s="134"/>
      <c r="J77" s="134"/>
      <c r="K77" s="134"/>
      <c r="L77" s="133">
        <v>0</v>
      </c>
      <c r="M77" s="134"/>
      <c r="N77" s="134"/>
      <c r="O77" s="134"/>
      <c r="P77" s="239">
        <v>0</v>
      </c>
      <c r="Q77" s="240"/>
      <c r="R77" s="240"/>
      <c r="S77" s="240"/>
      <c r="T77" s="145">
        <f t="shared" si="49"/>
        <v>0</v>
      </c>
      <c r="U77" s="244">
        <f t="shared" ref="U77:U78" si="50">I77+M77+Q77</f>
        <v>0</v>
      </c>
      <c r="V77" s="145">
        <f t="shared" si="48"/>
        <v>0</v>
      </c>
      <c r="W77" s="145">
        <f t="shared" si="48"/>
        <v>0</v>
      </c>
      <c r="X77" s="134"/>
      <c r="Y77" s="134"/>
      <c r="Z77" s="393"/>
    </row>
    <row r="78" spans="1:26">
      <c r="A78" s="316"/>
      <c r="B78" s="39" t="s">
        <v>31</v>
      </c>
      <c r="C78" s="400"/>
      <c r="D78" s="454"/>
      <c r="E78" s="456"/>
      <c r="F78" s="366"/>
      <c r="G78" s="133">
        <v>0</v>
      </c>
      <c r="H78" s="134"/>
      <c r="I78" s="134"/>
      <c r="J78" s="134"/>
      <c r="K78" s="134"/>
      <c r="L78" s="133">
        <v>0</v>
      </c>
      <c r="M78" s="134"/>
      <c r="N78" s="134"/>
      <c r="O78" s="134"/>
      <c r="P78" s="239">
        <v>0</v>
      </c>
      <c r="Q78" s="240"/>
      <c r="R78" s="240"/>
      <c r="S78" s="240"/>
      <c r="T78" s="145">
        <f t="shared" si="49"/>
        <v>0</v>
      </c>
      <c r="U78" s="244">
        <f t="shared" si="50"/>
        <v>0</v>
      </c>
      <c r="V78" s="145">
        <f t="shared" si="48"/>
        <v>0</v>
      </c>
      <c r="W78" s="145">
        <f t="shared" si="48"/>
        <v>0</v>
      </c>
      <c r="X78" s="134"/>
      <c r="Y78" s="134"/>
      <c r="Z78" s="393"/>
    </row>
    <row r="79" spans="1:26">
      <c r="A79" s="316"/>
      <c r="B79" s="22" t="s">
        <v>35</v>
      </c>
      <c r="C79" s="400"/>
      <c r="D79" s="454"/>
      <c r="E79" s="457"/>
      <c r="F79" s="393"/>
      <c r="G79" s="134">
        <v>0</v>
      </c>
      <c r="H79" s="134"/>
      <c r="I79" s="134"/>
      <c r="J79" s="134"/>
      <c r="K79" s="134"/>
      <c r="L79" s="134">
        <v>0</v>
      </c>
      <c r="M79" s="134"/>
      <c r="N79" s="134"/>
      <c r="O79" s="134"/>
      <c r="P79" s="240">
        <v>0</v>
      </c>
      <c r="Q79" s="240"/>
      <c r="R79" s="240"/>
      <c r="S79" s="240"/>
      <c r="T79" s="144">
        <f t="shared" si="49"/>
        <v>0</v>
      </c>
      <c r="U79" s="243">
        <f>I79+M79+Q79</f>
        <v>0</v>
      </c>
      <c r="V79" s="144">
        <f t="shared" si="48"/>
        <v>0</v>
      </c>
      <c r="W79" s="144">
        <f t="shared" si="48"/>
        <v>0</v>
      </c>
      <c r="X79" s="134"/>
      <c r="Y79" s="134"/>
      <c r="Z79" s="393"/>
    </row>
    <row r="80" spans="1:26">
      <c r="A80" s="317"/>
      <c r="B80" s="22" t="s">
        <v>36</v>
      </c>
      <c r="C80" s="401"/>
      <c r="D80" s="455"/>
      <c r="E80" s="458"/>
      <c r="F80" s="392"/>
      <c r="G80" s="134">
        <v>0</v>
      </c>
      <c r="H80" s="134"/>
      <c r="I80" s="134"/>
      <c r="J80" s="134"/>
      <c r="K80" s="134"/>
      <c r="L80" s="134">
        <v>0</v>
      </c>
      <c r="M80" s="134"/>
      <c r="N80" s="134"/>
      <c r="O80" s="134"/>
      <c r="P80" s="240">
        <v>0</v>
      </c>
      <c r="Q80" s="240"/>
      <c r="R80" s="240"/>
      <c r="S80" s="240"/>
      <c r="T80" s="144">
        <f t="shared" si="49"/>
        <v>0</v>
      </c>
      <c r="U80" s="243">
        <f>I80+M80+Q80</f>
        <v>0</v>
      </c>
      <c r="V80" s="144">
        <f t="shared" si="48"/>
        <v>0</v>
      </c>
      <c r="W80" s="144">
        <f t="shared" si="48"/>
        <v>0</v>
      </c>
      <c r="X80" s="134"/>
      <c r="Y80" s="134"/>
      <c r="Z80" s="392"/>
    </row>
    <row r="81" spans="1:26" ht="12.75" hidden="1" customHeight="1">
      <c r="A81" s="315" t="s">
        <v>79</v>
      </c>
      <c r="B81" s="15" t="s">
        <v>131</v>
      </c>
      <c r="C81" s="432" t="s">
        <v>41</v>
      </c>
      <c r="D81" s="448" t="s">
        <v>130</v>
      </c>
      <c r="E81" s="285">
        <v>7.32</v>
      </c>
      <c r="F81" s="300" t="s">
        <v>17</v>
      </c>
      <c r="G81" s="24">
        <f>G82+G84+G86+G90+G91</f>
        <v>0</v>
      </c>
      <c r="H81" s="134"/>
      <c r="I81" s="134"/>
      <c r="J81" s="134"/>
      <c r="K81" s="134"/>
      <c r="L81" s="134"/>
      <c r="M81" s="134"/>
      <c r="N81" s="134"/>
      <c r="O81" s="134"/>
      <c r="P81" s="240">
        <v>0</v>
      </c>
      <c r="Q81" s="279">
        <v>0</v>
      </c>
      <c r="R81" s="279">
        <v>0</v>
      </c>
      <c r="S81" s="279">
        <v>0</v>
      </c>
      <c r="T81" s="138">
        <f t="shared" si="49"/>
        <v>0</v>
      </c>
      <c r="U81" s="138">
        <f t="shared" si="48"/>
        <v>0</v>
      </c>
      <c r="V81" s="138">
        <f t="shared" si="48"/>
        <v>0</v>
      </c>
      <c r="W81" s="138">
        <f t="shared" si="48"/>
        <v>0</v>
      </c>
      <c r="X81" s="134"/>
      <c r="Y81" s="134"/>
      <c r="Z81" s="330"/>
    </row>
    <row r="82" spans="1:26" ht="12.75" hidden="1" customHeight="1">
      <c r="A82" s="316"/>
      <c r="B82" s="21" t="s">
        <v>26</v>
      </c>
      <c r="C82" s="331"/>
      <c r="D82" s="454"/>
      <c r="E82" s="456"/>
      <c r="F82" s="366"/>
      <c r="G82" s="285">
        <f>H82+X82+Y82</f>
        <v>0</v>
      </c>
      <c r="H82" s="285"/>
      <c r="I82" s="128"/>
      <c r="J82" s="128"/>
      <c r="K82" s="128"/>
      <c r="L82" s="128"/>
      <c r="M82" s="128"/>
      <c r="N82" s="128"/>
      <c r="O82" s="128"/>
      <c r="P82" s="231"/>
      <c r="Q82" s="231"/>
      <c r="R82" s="231"/>
      <c r="S82" s="231"/>
      <c r="T82" s="138">
        <f t="shared" si="49"/>
        <v>0</v>
      </c>
      <c r="U82" s="138">
        <f t="shared" si="48"/>
        <v>0</v>
      </c>
      <c r="V82" s="138">
        <f t="shared" si="48"/>
        <v>0</v>
      </c>
      <c r="W82" s="138">
        <f t="shared" si="48"/>
        <v>0</v>
      </c>
      <c r="X82" s="285"/>
      <c r="Y82" s="285"/>
      <c r="Z82" s="400"/>
    </row>
    <row r="83" spans="1:26" ht="12.75" hidden="1" customHeight="1">
      <c r="A83" s="316"/>
      <c r="B83" s="38" t="s">
        <v>25</v>
      </c>
      <c r="C83" s="331"/>
      <c r="D83" s="454"/>
      <c r="E83" s="456"/>
      <c r="F83" s="366"/>
      <c r="G83" s="392"/>
      <c r="H83" s="287"/>
      <c r="I83" s="130"/>
      <c r="J83" s="130"/>
      <c r="K83" s="130"/>
      <c r="L83" s="130"/>
      <c r="M83" s="130"/>
      <c r="N83" s="130"/>
      <c r="O83" s="130"/>
      <c r="P83" s="233"/>
      <c r="Q83" s="233"/>
      <c r="R83" s="233"/>
      <c r="S83" s="233"/>
      <c r="T83" s="138">
        <f t="shared" si="49"/>
        <v>0</v>
      </c>
      <c r="U83" s="138">
        <f t="shared" si="48"/>
        <v>0</v>
      </c>
      <c r="V83" s="138">
        <f t="shared" si="48"/>
        <v>0</v>
      </c>
      <c r="W83" s="138">
        <f t="shared" si="48"/>
        <v>0</v>
      </c>
      <c r="X83" s="287"/>
      <c r="Y83" s="287"/>
      <c r="Z83" s="400"/>
    </row>
    <row r="84" spans="1:26" ht="12.75" hidden="1" customHeight="1">
      <c r="A84" s="316"/>
      <c r="B84" s="22" t="s">
        <v>27</v>
      </c>
      <c r="C84" s="331"/>
      <c r="D84" s="454"/>
      <c r="E84" s="456"/>
      <c r="F84" s="366"/>
      <c r="G84" s="134">
        <f>SUM(G85)</f>
        <v>0</v>
      </c>
      <c r="H84" s="130"/>
      <c r="I84" s="130"/>
      <c r="J84" s="130"/>
      <c r="K84" s="130"/>
      <c r="L84" s="130"/>
      <c r="M84" s="130"/>
      <c r="N84" s="130"/>
      <c r="O84" s="130"/>
      <c r="P84" s="233"/>
      <c r="Q84" s="233"/>
      <c r="R84" s="233"/>
      <c r="S84" s="233"/>
      <c r="T84" s="138">
        <f t="shared" si="49"/>
        <v>0</v>
      </c>
      <c r="U84" s="138">
        <f t="shared" si="48"/>
        <v>0</v>
      </c>
      <c r="V84" s="138">
        <f t="shared" si="48"/>
        <v>0</v>
      </c>
      <c r="W84" s="138">
        <f t="shared" si="48"/>
        <v>0</v>
      </c>
      <c r="X84" s="130"/>
      <c r="Y84" s="130"/>
      <c r="Z84" s="400"/>
    </row>
    <row r="85" spans="1:26" ht="12.75" hidden="1" customHeight="1">
      <c r="A85" s="316"/>
      <c r="B85" s="39" t="s">
        <v>37</v>
      </c>
      <c r="C85" s="331"/>
      <c r="D85" s="454"/>
      <c r="E85" s="456"/>
      <c r="F85" s="366"/>
      <c r="G85" s="133">
        <f>SUM(H85:Y85)</f>
        <v>0</v>
      </c>
      <c r="H85" s="130"/>
      <c r="I85" s="130"/>
      <c r="J85" s="130"/>
      <c r="K85" s="130"/>
      <c r="L85" s="130"/>
      <c r="M85" s="130"/>
      <c r="N85" s="130"/>
      <c r="O85" s="130"/>
      <c r="P85" s="233"/>
      <c r="Q85" s="233"/>
      <c r="R85" s="233"/>
      <c r="S85" s="233"/>
      <c r="T85" s="138">
        <f t="shared" si="49"/>
        <v>0</v>
      </c>
      <c r="U85" s="138">
        <f t="shared" si="48"/>
        <v>0</v>
      </c>
      <c r="V85" s="138">
        <f t="shared" si="48"/>
        <v>0</v>
      </c>
      <c r="W85" s="138">
        <f t="shared" si="48"/>
        <v>0</v>
      </c>
      <c r="X85" s="130"/>
      <c r="Y85" s="130"/>
      <c r="Z85" s="400"/>
    </row>
    <row r="86" spans="1:26" ht="12.75" hidden="1" customHeight="1">
      <c r="A86" s="316"/>
      <c r="B86" s="22" t="s">
        <v>28</v>
      </c>
      <c r="C86" s="331"/>
      <c r="D86" s="454"/>
      <c r="E86" s="456"/>
      <c r="F86" s="366"/>
      <c r="G86" s="134">
        <f>SUM(G87:G89)</f>
        <v>0</v>
      </c>
      <c r="H86" s="130"/>
      <c r="I86" s="130"/>
      <c r="J86" s="130"/>
      <c r="K86" s="130"/>
      <c r="L86" s="130"/>
      <c r="M86" s="130"/>
      <c r="N86" s="130"/>
      <c r="O86" s="130"/>
      <c r="P86" s="233"/>
      <c r="Q86" s="233"/>
      <c r="R86" s="233"/>
      <c r="S86" s="233"/>
      <c r="T86" s="138">
        <f t="shared" si="49"/>
        <v>0</v>
      </c>
      <c r="U86" s="138">
        <f t="shared" si="48"/>
        <v>0</v>
      </c>
      <c r="V86" s="138">
        <f t="shared" si="48"/>
        <v>0</v>
      </c>
      <c r="W86" s="138">
        <f t="shared" si="48"/>
        <v>0</v>
      </c>
      <c r="X86" s="130"/>
      <c r="Y86" s="130"/>
      <c r="Z86" s="400"/>
    </row>
    <row r="87" spans="1:26" ht="12.75" hidden="1" customHeight="1">
      <c r="A87" s="316"/>
      <c r="B87" s="39" t="s">
        <v>29</v>
      </c>
      <c r="C87" s="400"/>
      <c r="D87" s="454"/>
      <c r="E87" s="456"/>
      <c r="F87" s="366"/>
      <c r="G87" s="133">
        <f>SUM(H87:Y87)</f>
        <v>0</v>
      </c>
      <c r="H87" s="134"/>
      <c r="I87" s="134"/>
      <c r="J87" s="134"/>
      <c r="K87" s="134"/>
      <c r="L87" s="134"/>
      <c r="M87" s="134"/>
      <c r="N87" s="134"/>
      <c r="O87" s="134"/>
      <c r="P87" s="240"/>
      <c r="Q87" s="240"/>
      <c r="R87" s="240"/>
      <c r="S87" s="240"/>
      <c r="T87" s="138">
        <f t="shared" si="49"/>
        <v>0</v>
      </c>
      <c r="U87" s="138">
        <f t="shared" si="48"/>
        <v>0</v>
      </c>
      <c r="V87" s="138">
        <f t="shared" si="48"/>
        <v>0</v>
      </c>
      <c r="W87" s="138">
        <f t="shared" si="48"/>
        <v>0</v>
      </c>
      <c r="X87" s="134"/>
      <c r="Y87" s="134"/>
      <c r="Z87" s="400"/>
    </row>
    <row r="88" spans="1:26" ht="12.75" hidden="1" customHeight="1">
      <c r="A88" s="316"/>
      <c r="B88" s="39" t="s">
        <v>30</v>
      </c>
      <c r="C88" s="400"/>
      <c r="D88" s="454"/>
      <c r="E88" s="456"/>
      <c r="F88" s="366"/>
      <c r="G88" s="133">
        <f>SUM(H88:Y88)</f>
        <v>0</v>
      </c>
      <c r="H88" s="134"/>
      <c r="I88" s="134"/>
      <c r="J88" s="134"/>
      <c r="K88" s="134"/>
      <c r="L88" s="134"/>
      <c r="M88" s="134"/>
      <c r="N88" s="134"/>
      <c r="O88" s="134"/>
      <c r="P88" s="240"/>
      <c r="Q88" s="240"/>
      <c r="R88" s="240"/>
      <c r="S88" s="240"/>
      <c r="T88" s="138">
        <f t="shared" si="49"/>
        <v>0</v>
      </c>
      <c r="U88" s="138">
        <f t="shared" si="48"/>
        <v>0</v>
      </c>
      <c r="V88" s="138">
        <f t="shared" si="48"/>
        <v>0</v>
      </c>
      <c r="W88" s="138">
        <f t="shared" si="48"/>
        <v>0</v>
      </c>
      <c r="X88" s="134"/>
      <c r="Y88" s="134"/>
      <c r="Z88" s="400"/>
    </row>
    <row r="89" spans="1:26" ht="12.75" hidden="1" customHeight="1">
      <c r="A89" s="316"/>
      <c r="B89" s="39" t="s">
        <v>31</v>
      </c>
      <c r="C89" s="400"/>
      <c r="D89" s="454"/>
      <c r="E89" s="456"/>
      <c r="F89" s="366"/>
      <c r="G89" s="133">
        <f>SUM(H89:Y89)</f>
        <v>0</v>
      </c>
      <c r="H89" s="134"/>
      <c r="I89" s="134"/>
      <c r="J89" s="134"/>
      <c r="K89" s="134"/>
      <c r="L89" s="134"/>
      <c r="M89" s="134"/>
      <c r="N89" s="134"/>
      <c r="O89" s="134"/>
      <c r="P89" s="240"/>
      <c r="Q89" s="240"/>
      <c r="R89" s="240"/>
      <c r="S89" s="240"/>
      <c r="T89" s="138">
        <f t="shared" si="49"/>
        <v>0</v>
      </c>
      <c r="U89" s="138">
        <f t="shared" ref="U89:U138" si="51">I89+M89</f>
        <v>0</v>
      </c>
      <c r="V89" s="138">
        <f t="shared" ref="V89:V135" si="52">J89+N89</f>
        <v>0</v>
      </c>
      <c r="W89" s="138">
        <f t="shared" ref="W89:W135" si="53">K89+O89</f>
        <v>0</v>
      </c>
      <c r="X89" s="134"/>
      <c r="Y89" s="134"/>
      <c r="Z89" s="400"/>
    </row>
    <row r="90" spans="1:26" ht="12.75" hidden="1" customHeight="1">
      <c r="A90" s="316"/>
      <c r="B90" s="22" t="s">
        <v>35</v>
      </c>
      <c r="C90" s="400"/>
      <c r="D90" s="454"/>
      <c r="E90" s="457"/>
      <c r="F90" s="393"/>
      <c r="G90" s="134">
        <f>SUM(H90:Y90)</f>
        <v>0</v>
      </c>
      <c r="H90" s="134"/>
      <c r="I90" s="134"/>
      <c r="J90" s="134"/>
      <c r="K90" s="134"/>
      <c r="L90" s="134"/>
      <c r="M90" s="134"/>
      <c r="N90" s="134"/>
      <c r="O90" s="134"/>
      <c r="P90" s="240"/>
      <c r="Q90" s="240"/>
      <c r="R90" s="240"/>
      <c r="S90" s="240"/>
      <c r="T90" s="138">
        <f t="shared" si="49"/>
        <v>0</v>
      </c>
      <c r="U90" s="138">
        <f t="shared" si="51"/>
        <v>0</v>
      </c>
      <c r="V90" s="138">
        <f t="shared" si="52"/>
        <v>0</v>
      </c>
      <c r="W90" s="138">
        <f t="shared" si="53"/>
        <v>0</v>
      </c>
      <c r="X90" s="134"/>
      <c r="Y90" s="134"/>
      <c r="Z90" s="400"/>
    </row>
    <row r="91" spans="1:26" ht="12.75" hidden="1" customHeight="1">
      <c r="A91" s="317"/>
      <c r="B91" s="22" t="s">
        <v>36</v>
      </c>
      <c r="C91" s="401"/>
      <c r="D91" s="455"/>
      <c r="E91" s="458"/>
      <c r="F91" s="392"/>
      <c r="G91" s="134">
        <f>SUM(H91:Y91)</f>
        <v>0</v>
      </c>
      <c r="H91" s="134"/>
      <c r="I91" s="134"/>
      <c r="J91" s="134"/>
      <c r="K91" s="134"/>
      <c r="L91" s="134"/>
      <c r="M91" s="134"/>
      <c r="N91" s="134"/>
      <c r="O91" s="134"/>
      <c r="P91" s="240"/>
      <c r="Q91" s="240"/>
      <c r="R91" s="240"/>
      <c r="S91" s="240"/>
      <c r="T91" s="138">
        <f t="shared" si="49"/>
        <v>0</v>
      </c>
      <c r="U91" s="138">
        <f t="shared" si="51"/>
        <v>0</v>
      </c>
      <c r="V91" s="138">
        <f t="shared" si="52"/>
        <v>0</v>
      </c>
      <c r="W91" s="138">
        <f t="shared" si="53"/>
        <v>0</v>
      </c>
      <c r="X91" s="134"/>
      <c r="Y91" s="134"/>
      <c r="Z91" s="401"/>
    </row>
    <row r="92" spans="1:26" ht="40.5" customHeight="1">
      <c r="A92" s="315" t="s">
        <v>79</v>
      </c>
      <c r="B92" s="18" t="s">
        <v>77</v>
      </c>
      <c r="C92" s="432" t="s">
        <v>41</v>
      </c>
      <c r="D92" s="448" t="s">
        <v>47</v>
      </c>
      <c r="E92" s="300">
        <v>90</v>
      </c>
      <c r="F92" s="300" t="s">
        <v>17</v>
      </c>
      <c r="G92" s="24">
        <f>G93+G95+G97+G101+G102</f>
        <v>318143.09999999998</v>
      </c>
      <c r="H92" s="24">
        <f>H93+H95+H97+H101+H102</f>
        <v>0</v>
      </c>
      <c r="I92" s="134"/>
      <c r="J92" s="134"/>
      <c r="K92" s="134"/>
      <c r="L92" s="24">
        <f>L93+L95+L97+L101+L102</f>
        <v>155738.1</v>
      </c>
      <c r="M92" s="134">
        <v>0</v>
      </c>
      <c r="N92" s="134">
        <v>0</v>
      </c>
      <c r="O92" s="134">
        <v>0</v>
      </c>
      <c r="P92" s="24">
        <f>P93+P95+P97+P101+P102</f>
        <v>0</v>
      </c>
      <c r="Q92" s="240">
        <v>0</v>
      </c>
      <c r="R92" s="240">
        <v>0</v>
      </c>
      <c r="S92" s="240">
        <v>0</v>
      </c>
      <c r="T92" s="24">
        <f>H92+L92+P92</f>
        <v>155738.1</v>
      </c>
      <c r="U92" s="24">
        <f>I92+M92+Q92</f>
        <v>0</v>
      </c>
      <c r="V92" s="24">
        <f t="shared" ref="V92:W92" si="54">J92+N92+R92</f>
        <v>0</v>
      </c>
      <c r="W92" s="24">
        <f t="shared" si="54"/>
        <v>0</v>
      </c>
      <c r="X92" s="134"/>
      <c r="Y92" s="134"/>
      <c r="Z92" s="300"/>
    </row>
    <row r="93" spans="1:26">
      <c r="A93" s="316"/>
      <c r="B93" s="21" t="s">
        <v>123</v>
      </c>
      <c r="C93" s="331"/>
      <c r="D93" s="449"/>
      <c r="E93" s="366"/>
      <c r="F93" s="366"/>
      <c r="G93" s="285">
        <v>318143.09999999998</v>
      </c>
      <c r="H93" s="285"/>
      <c r="I93" s="128"/>
      <c r="J93" s="128"/>
      <c r="K93" s="128"/>
      <c r="L93" s="285">
        <v>155738.1</v>
      </c>
      <c r="M93" s="128"/>
      <c r="N93" s="128"/>
      <c r="O93" s="128"/>
      <c r="P93" s="285">
        <v>0</v>
      </c>
      <c r="Q93" s="231"/>
      <c r="R93" s="231"/>
      <c r="S93" s="231"/>
      <c r="T93" s="285">
        <f>H93+L93+P93</f>
        <v>155738.1</v>
      </c>
      <c r="U93" s="285">
        <f>I93+M93+Q93</f>
        <v>0</v>
      </c>
      <c r="V93" s="285">
        <f t="shared" si="52"/>
        <v>0</v>
      </c>
      <c r="W93" s="285">
        <f t="shared" si="53"/>
        <v>0</v>
      </c>
      <c r="X93" s="285">
        <v>155738.1</v>
      </c>
      <c r="Y93" s="285">
        <f>306994-142950.1+0.7+1639.6-3279.2</f>
        <v>162405</v>
      </c>
      <c r="Z93" s="446"/>
    </row>
    <row r="94" spans="1:26">
      <c r="A94" s="316"/>
      <c r="B94" s="38" t="s">
        <v>25</v>
      </c>
      <c r="C94" s="331"/>
      <c r="D94" s="449"/>
      <c r="E94" s="366"/>
      <c r="F94" s="366"/>
      <c r="G94" s="461"/>
      <c r="H94" s="287"/>
      <c r="I94" s="130"/>
      <c r="J94" s="130"/>
      <c r="K94" s="130"/>
      <c r="L94" s="287"/>
      <c r="M94" s="130"/>
      <c r="N94" s="130"/>
      <c r="O94" s="130"/>
      <c r="P94" s="287"/>
      <c r="Q94" s="233"/>
      <c r="R94" s="233"/>
      <c r="S94" s="233"/>
      <c r="T94" s="287">
        <f t="shared" ref="T94:U94" si="55">H94+L94</f>
        <v>0</v>
      </c>
      <c r="U94" s="287">
        <f t="shared" si="55"/>
        <v>0</v>
      </c>
      <c r="V94" s="287">
        <f t="shared" si="52"/>
        <v>0</v>
      </c>
      <c r="W94" s="287">
        <f t="shared" si="53"/>
        <v>0</v>
      </c>
      <c r="X94" s="287"/>
      <c r="Y94" s="287"/>
      <c r="Z94" s="446"/>
    </row>
    <row r="95" spans="1:26">
      <c r="A95" s="316"/>
      <c r="B95" s="22" t="s">
        <v>27</v>
      </c>
      <c r="C95" s="331"/>
      <c r="D95" s="449"/>
      <c r="E95" s="366"/>
      <c r="F95" s="366"/>
      <c r="G95" s="134">
        <f>SUM(G96)</f>
        <v>0</v>
      </c>
      <c r="H95" s="130"/>
      <c r="I95" s="130"/>
      <c r="J95" s="130"/>
      <c r="K95" s="130"/>
      <c r="L95" s="134">
        <f>SUM(L96)</f>
        <v>0</v>
      </c>
      <c r="M95" s="130"/>
      <c r="N95" s="130"/>
      <c r="O95" s="130"/>
      <c r="P95" s="240">
        <f>SUM(P96)</f>
        <v>0</v>
      </c>
      <c r="Q95" s="233"/>
      <c r="R95" s="233"/>
      <c r="S95" s="233"/>
      <c r="T95" s="144">
        <f>H95+L95</f>
        <v>0</v>
      </c>
      <c r="U95" s="243">
        <f>I95+M95+Q95</f>
        <v>0</v>
      </c>
      <c r="V95" s="144">
        <f t="shared" si="52"/>
        <v>0</v>
      </c>
      <c r="W95" s="144">
        <f t="shared" si="53"/>
        <v>0</v>
      </c>
      <c r="X95" s="130"/>
      <c r="Y95" s="130"/>
      <c r="Z95" s="446"/>
    </row>
    <row r="96" spans="1:26">
      <c r="A96" s="316"/>
      <c r="B96" s="39" t="s">
        <v>37</v>
      </c>
      <c r="C96" s="331"/>
      <c r="D96" s="449"/>
      <c r="E96" s="366"/>
      <c r="F96" s="366"/>
      <c r="G96" s="133">
        <v>0</v>
      </c>
      <c r="H96" s="130"/>
      <c r="I96" s="130"/>
      <c r="J96" s="130"/>
      <c r="K96" s="130"/>
      <c r="L96" s="133">
        <v>0</v>
      </c>
      <c r="M96" s="130"/>
      <c r="N96" s="130"/>
      <c r="O96" s="130"/>
      <c r="P96" s="239">
        <v>0</v>
      </c>
      <c r="Q96" s="233"/>
      <c r="R96" s="233"/>
      <c r="S96" s="233"/>
      <c r="T96" s="145">
        <f t="shared" ref="T96:T102" si="56">H96+L96</f>
        <v>0</v>
      </c>
      <c r="U96" s="244">
        <f>I96+M96+Q96</f>
        <v>0</v>
      </c>
      <c r="V96" s="145">
        <f t="shared" si="52"/>
        <v>0</v>
      </c>
      <c r="W96" s="145">
        <f t="shared" si="53"/>
        <v>0</v>
      </c>
      <c r="X96" s="130"/>
      <c r="Y96" s="130"/>
      <c r="Z96" s="446"/>
    </row>
    <row r="97" spans="1:26">
      <c r="A97" s="316"/>
      <c r="B97" s="22" t="s">
        <v>28</v>
      </c>
      <c r="C97" s="331"/>
      <c r="D97" s="449"/>
      <c r="E97" s="366"/>
      <c r="F97" s="366"/>
      <c r="G97" s="134">
        <v>0</v>
      </c>
      <c r="H97" s="130"/>
      <c r="I97" s="130"/>
      <c r="J97" s="130"/>
      <c r="K97" s="130"/>
      <c r="L97" s="134">
        <v>0</v>
      </c>
      <c r="M97" s="130"/>
      <c r="N97" s="130"/>
      <c r="O97" s="130"/>
      <c r="P97" s="240">
        <v>0</v>
      </c>
      <c r="Q97" s="233"/>
      <c r="R97" s="233"/>
      <c r="S97" s="233"/>
      <c r="T97" s="144">
        <f t="shared" si="56"/>
        <v>0</v>
      </c>
      <c r="U97" s="243">
        <f>I97+M97+Q97</f>
        <v>0</v>
      </c>
      <c r="V97" s="144">
        <f t="shared" si="52"/>
        <v>0</v>
      </c>
      <c r="W97" s="144">
        <f t="shared" si="53"/>
        <v>0</v>
      </c>
      <c r="X97" s="130"/>
      <c r="Y97" s="130"/>
      <c r="Z97" s="446"/>
    </row>
    <row r="98" spans="1:26">
      <c r="A98" s="316"/>
      <c r="B98" s="39" t="s">
        <v>29</v>
      </c>
      <c r="C98" s="400"/>
      <c r="D98" s="449"/>
      <c r="E98" s="366"/>
      <c r="F98" s="366"/>
      <c r="G98" s="133">
        <v>0</v>
      </c>
      <c r="H98" s="134"/>
      <c r="I98" s="134"/>
      <c r="J98" s="134"/>
      <c r="K98" s="134"/>
      <c r="L98" s="133">
        <v>0</v>
      </c>
      <c r="M98" s="134"/>
      <c r="N98" s="134"/>
      <c r="O98" s="134"/>
      <c r="P98" s="239">
        <v>0</v>
      </c>
      <c r="Q98" s="240"/>
      <c r="R98" s="240"/>
      <c r="S98" s="240"/>
      <c r="T98" s="145">
        <f t="shared" si="56"/>
        <v>0</v>
      </c>
      <c r="U98" s="244">
        <f>I98+M98+Q98</f>
        <v>0</v>
      </c>
      <c r="V98" s="145">
        <f t="shared" si="52"/>
        <v>0</v>
      </c>
      <c r="W98" s="145">
        <f t="shared" si="53"/>
        <v>0</v>
      </c>
      <c r="X98" s="134"/>
      <c r="Y98" s="134"/>
      <c r="Z98" s="446"/>
    </row>
    <row r="99" spans="1:26">
      <c r="A99" s="316"/>
      <c r="B99" s="39" t="s">
        <v>30</v>
      </c>
      <c r="C99" s="400"/>
      <c r="D99" s="449"/>
      <c r="E99" s="366"/>
      <c r="F99" s="366"/>
      <c r="G99" s="133">
        <v>0</v>
      </c>
      <c r="H99" s="134"/>
      <c r="I99" s="134"/>
      <c r="J99" s="134"/>
      <c r="K99" s="134"/>
      <c r="L99" s="133">
        <v>0</v>
      </c>
      <c r="M99" s="134"/>
      <c r="N99" s="134"/>
      <c r="O99" s="134"/>
      <c r="P99" s="239">
        <v>0</v>
      </c>
      <c r="Q99" s="240"/>
      <c r="R99" s="240"/>
      <c r="S99" s="240"/>
      <c r="T99" s="145">
        <f t="shared" si="56"/>
        <v>0</v>
      </c>
      <c r="U99" s="244">
        <f t="shared" ref="U99:U100" si="57">I99+M99+Q99</f>
        <v>0</v>
      </c>
      <c r="V99" s="145">
        <f t="shared" si="52"/>
        <v>0</v>
      </c>
      <c r="W99" s="145">
        <f t="shared" si="53"/>
        <v>0</v>
      </c>
      <c r="X99" s="134"/>
      <c r="Y99" s="134"/>
      <c r="Z99" s="446"/>
    </row>
    <row r="100" spans="1:26">
      <c r="A100" s="316"/>
      <c r="B100" s="39" t="s">
        <v>31</v>
      </c>
      <c r="C100" s="400"/>
      <c r="D100" s="449"/>
      <c r="E100" s="366"/>
      <c r="F100" s="366"/>
      <c r="G100" s="133">
        <v>0</v>
      </c>
      <c r="H100" s="134"/>
      <c r="I100" s="134"/>
      <c r="J100" s="134"/>
      <c r="K100" s="134"/>
      <c r="L100" s="133">
        <v>0</v>
      </c>
      <c r="M100" s="134"/>
      <c r="N100" s="134"/>
      <c r="O100" s="134"/>
      <c r="P100" s="239">
        <v>0</v>
      </c>
      <c r="Q100" s="240"/>
      <c r="R100" s="240"/>
      <c r="S100" s="240"/>
      <c r="T100" s="145">
        <f t="shared" si="56"/>
        <v>0</v>
      </c>
      <c r="U100" s="244">
        <f t="shared" si="57"/>
        <v>0</v>
      </c>
      <c r="V100" s="145">
        <f t="shared" si="52"/>
        <v>0</v>
      </c>
      <c r="W100" s="145">
        <f t="shared" si="53"/>
        <v>0</v>
      </c>
      <c r="X100" s="134"/>
      <c r="Y100" s="134"/>
      <c r="Z100" s="446"/>
    </row>
    <row r="101" spans="1:26">
      <c r="A101" s="316"/>
      <c r="B101" s="22" t="s">
        <v>35</v>
      </c>
      <c r="C101" s="400"/>
      <c r="D101" s="450"/>
      <c r="E101" s="393"/>
      <c r="F101" s="393"/>
      <c r="G101" s="134">
        <v>0</v>
      </c>
      <c r="H101" s="134"/>
      <c r="I101" s="134"/>
      <c r="J101" s="134"/>
      <c r="K101" s="134"/>
      <c r="L101" s="134">
        <v>0</v>
      </c>
      <c r="M101" s="134"/>
      <c r="N101" s="134"/>
      <c r="O101" s="134"/>
      <c r="P101" s="240">
        <v>0</v>
      </c>
      <c r="Q101" s="240"/>
      <c r="R101" s="240"/>
      <c r="S101" s="240"/>
      <c r="T101" s="144">
        <f t="shared" si="56"/>
        <v>0</v>
      </c>
      <c r="U101" s="243">
        <f>I101+M101+Q101</f>
        <v>0</v>
      </c>
      <c r="V101" s="144">
        <f t="shared" si="52"/>
        <v>0</v>
      </c>
      <c r="W101" s="144">
        <f t="shared" si="53"/>
        <v>0</v>
      </c>
      <c r="X101" s="134"/>
      <c r="Y101" s="134"/>
      <c r="Z101" s="446"/>
    </row>
    <row r="102" spans="1:26">
      <c r="A102" s="317"/>
      <c r="B102" s="22" t="s">
        <v>36</v>
      </c>
      <c r="C102" s="401"/>
      <c r="D102" s="451"/>
      <c r="E102" s="392"/>
      <c r="F102" s="392"/>
      <c r="G102" s="134">
        <v>0</v>
      </c>
      <c r="H102" s="134"/>
      <c r="I102" s="134"/>
      <c r="J102" s="134"/>
      <c r="K102" s="134"/>
      <c r="L102" s="134">
        <v>0</v>
      </c>
      <c r="M102" s="134"/>
      <c r="N102" s="134"/>
      <c r="O102" s="134"/>
      <c r="P102" s="240">
        <v>0</v>
      </c>
      <c r="Q102" s="240"/>
      <c r="R102" s="240"/>
      <c r="S102" s="240"/>
      <c r="T102" s="144">
        <f t="shared" si="56"/>
        <v>0</v>
      </c>
      <c r="U102" s="243">
        <f>I102+M102+Q102</f>
        <v>0</v>
      </c>
      <c r="V102" s="144">
        <f t="shared" si="52"/>
        <v>0</v>
      </c>
      <c r="W102" s="144">
        <f t="shared" si="53"/>
        <v>0</v>
      </c>
      <c r="X102" s="134"/>
      <c r="Y102" s="134"/>
      <c r="Z102" s="447"/>
    </row>
    <row r="103" spans="1:26" ht="25.5">
      <c r="A103" s="315" t="s">
        <v>105</v>
      </c>
      <c r="B103" s="18" t="s">
        <v>106</v>
      </c>
      <c r="C103" s="432" t="s">
        <v>41</v>
      </c>
      <c r="D103" s="448" t="s">
        <v>47</v>
      </c>
      <c r="E103" s="300"/>
      <c r="F103" s="300" t="s">
        <v>17</v>
      </c>
      <c r="G103" s="24">
        <f>G104+G106+G108+G112+G113</f>
        <v>1809.5</v>
      </c>
      <c r="H103" s="24">
        <f>H104+H106+H108+H112+H113</f>
        <v>0</v>
      </c>
      <c r="I103" s="134"/>
      <c r="J103" s="134"/>
      <c r="K103" s="134"/>
      <c r="L103" s="24">
        <f>L104+L106+L108+L112+L113</f>
        <v>164.5</v>
      </c>
      <c r="M103" s="134">
        <v>0</v>
      </c>
      <c r="N103" s="134">
        <v>0</v>
      </c>
      <c r="O103" s="134">
        <v>0</v>
      </c>
      <c r="P103" s="24">
        <f>P104+P106+P108+P112+P113</f>
        <v>0</v>
      </c>
      <c r="Q103" s="240">
        <v>0</v>
      </c>
      <c r="R103" s="240">
        <v>0</v>
      </c>
      <c r="S103" s="240">
        <v>0</v>
      </c>
      <c r="T103" s="24">
        <f>H103+L103+P103</f>
        <v>164.5</v>
      </c>
      <c r="U103" s="24">
        <f>I103+M103+Q103</f>
        <v>0</v>
      </c>
      <c r="V103" s="24">
        <f t="shared" ref="V103:W103" si="58">J103+N103+R103</f>
        <v>0</v>
      </c>
      <c r="W103" s="24">
        <f t="shared" si="58"/>
        <v>0</v>
      </c>
      <c r="X103" s="134"/>
      <c r="Y103" s="134"/>
      <c r="Z103" s="164"/>
    </row>
    <row r="104" spans="1:26">
      <c r="A104" s="316"/>
      <c r="B104" s="21" t="s">
        <v>123</v>
      </c>
      <c r="C104" s="331"/>
      <c r="D104" s="449"/>
      <c r="E104" s="366"/>
      <c r="F104" s="366"/>
      <c r="G104" s="285">
        <v>1809.5</v>
      </c>
      <c r="H104" s="285"/>
      <c r="I104" s="128"/>
      <c r="J104" s="128"/>
      <c r="K104" s="128"/>
      <c r="L104" s="285">
        <v>164.5</v>
      </c>
      <c r="M104" s="128"/>
      <c r="N104" s="128"/>
      <c r="O104" s="128"/>
      <c r="P104" s="285">
        <v>0</v>
      </c>
      <c r="Q104" s="231"/>
      <c r="R104" s="231"/>
      <c r="S104" s="231"/>
      <c r="T104" s="285">
        <f>H104+L104+P104</f>
        <v>164.5</v>
      </c>
      <c r="U104" s="285">
        <f>I104+M104+Q104</f>
        <v>0</v>
      </c>
      <c r="V104" s="285">
        <f t="shared" si="52"/>
        <v>0</v>
      </c>
      <c r="W104" s="285">
        <f t="shared" si="53"/>
        <v>0</v>
      </c>
      <c r="X104" s="285">
        <v>164.5</v>
      </c>
      <c r="Y104" s="285">
        <v>1645</v>
      </c>
      <c r="Z104" s="164"/>
    </row>
    <row r="105" spans="1:26">
      <c r="A105" s="316"/>
      <c r="B105" s="38" t="s">
        <v>25</v>
      </c>
      <c r="C105" s="331"/>
      <c r="D105" s="449"/>
      <c r="E105" s="366"/>
      <c r="F105" s="366"/>
      <c r="G105" s="392"/>
      <c r="H105" s="287"/>
      <c r="I105" s="130"/>
      <c r="J105" s="130"/>
      <c r="K105" s="130"/>
      <c r="L105" s="287"/>
      <c r="M105" s="130"/>
      <c r="N105" s="130"/>
      <c r="O105" s="130"/>
      <c r="P105" s="287"/>
      <c r="Q105" s="233"/>
      <c r="R105" s="233"/>
      <c r="S105" s="233"/>
      <c r="T105" s="287">
        <f t="shared" ref="T105:U105" si="59">H105+L105</f>
        <v>0</v>
      </c>
      <c r="U105" s="287">
        <f t="shared" si="59"/>
        <v>0</v>
      </c>
      <c r="V105" s="287">
        <f t="shared" si="52"/>
        <v>0</v>
      </c>
      <c r="W105" s="287">
        <f t="shared" si="53"/>
        <v>0</v>
      </c>
      <c r="X105" s="287"/>
      <c r="Y105" s="287"/>
      <c r="Z105" s="164"/>
    </row>
    <row r="106" spans="1:26">
      <c r="A106" s="316"/>
      <c r="B106" s="22" t="s">
        <v>27</v>
      </c>
      <c r="C106" s="331"/>
      <c r="D106" s="449"/>
      <c r="E106" s="366"/>
      <c r="F106" s="366"/>
      <c r="G106" s="134">
        <v>0</v>
      </c>
      <c r="H106" s="130"/>
      <c r="I106" s="130"/>
      <c r="J106" s="130"/>
      <c r="K106" s="130"/>
      <c r="L106" s="134">
        <v>0</v>
      </c>
      <c r="M106" s="130"/>
      <c r="N106" s="130"/>
      <c r="O106" s="130"/>
      <c r="P106" s="240">
        <v>0</v>
      </c>
      <c r="Q106" s="233"/>
      <c r="R106" s="233"/>
      <c r="S106" s="233"/>
      <c r="T106" s="144">
        <f>H106+L106</f>
        <v>0</v>
      </c>
      <c r="U106" s="243">
        <f>I106+M106+Q106</f>
        <v>0</v>
      </c>
      <c r="V106" s="144">
        <f t="shared" si="52"/>
        <v>0</v>
      </c>
      <c r="W106" s="144">
        <f t="shared" si="53"/>
        <v>0</v>
      </c>
      <c r="X106" s="130"/>
      <c r="Y106" s="130"/>
      <c r="Z106" s="164"/>
    </row>
    <row r="107" spans="1:26">
      <c r="A107" s="316"/>
      <c r="B107" s="39" t="s">
        <v>37</v>
      </c>
      <c r="C107" s="331"/>
      <c r="D107" s="449"/>
      <c r="E107" s="366"/>
      <c r="F107" s="366"/>
      <c r="G107" s="133">
        <v>0</v>
      </c>
      <c r="H107" s="130"/>
      <c r="I107" s="130"/>
      <c r="J107" s="130"/>
      <c r="K107" s="130"/>
      <c r="L107" s="133">
        <v>0</v>
      </c>
      <c r="M107" s="130"/>
      <c r="N107" s="130"/>
      <c r="O107" s="130"/>
      <c r="P107" s="239">
        <v>0</v>
      </c>
      <c r="Q107" s="233"/>
      <c r="R107" s="233"/>
      <c r="S107" s="233"/>
      <c r="T107" s="145">
        <f t="shared" ref="T107:T113" si="60">H107+L107</f>
        <v>0</v>
      </c>
      <c r="U107" s="244">
        <f>I107+M107+Q107</f>
        <v>0</v>
      </c>
      <c r="V107" s="145">
        <f t="shared" si="52"/>
        <v>0</v>
      </c>
      <c r="W107" s="145">
        <f t="shared" si="53"/>
        <v>0</v>
      </c>
      <c r="X107" s="130"/>
      <c r="Y107" s="130"/>
      <c r="Z107" s="164"/>
    </row>
    <row r="108" spans="1:26">
      <c r="A108" s="316"/>
      <c r="B108" s="22" t="s">
        <v>28</v>
      </c>
      <c r="C108" s="331"/>
      <c r="D108" s="449"/>
      <c r="E108" s="366"/>
      <c r="F108" s="366"/>
      <c r="G108" s="134">
        <v>0</v>
      </c>
      <c r="H108" s="130"/>
      <c r="I108" s="130"/>
      <c r="J108" s="130"/>
      <c r="K108" s="130"/>
      <c r="L108" s="134">
        <v>0</v>
      </c>
      <c r="M108" s="130"/>
      <c r="N108" s="130"/>
      <c r="O108" s="130"/>
      <c r="P108" s="240">
        <v>0</v>
      </c>
      <c r="Q108" s="233"/>
      <c r="R108" s="233"/>
      <c r="S108" s="233"/>
      <c r="T108" s="144">
        <f t="shared" si="60"/>
        <v>0</v>
      </c>
      <c r="U108" s="243">
        <f>I108+M108+Q108</f>
        <v>0</v>
      </c>
      <c r="V108" s="144">
        <f t="shared" si="52"/>
        <v>0</v>
      </c>
      <c r="W108" s="144">
        <f t="shared" si="53"/>
        <v>0</v>
      </c>
      <c r="X108" s="130"/>
      <c r="Y108" s="130"/>
      <c r="Z108" s="164"/>
    </row>
    <row r="109" spans="1:26">
      <c r="A109" s="316"/>
      <c r="B109" s="39" t="s">
        <v>29</v>
      </c>
      <c r="C109" s="400"/>
      <c r="D109" s="449"/>
      <c r="E109" s="366"/>
      <c r="F109" s="366"/>
      <c r="G109" s="133">
        <v>0</v>
      </c>
      <c r="H109" s="134"/>
      <c r="I109" s="134"/>
      <c r="J109" s="134"/>
      <c r="K109" s="134"/>
      <c r="L109" s="133">
        <v>0</v>
      </c>
      <c r="M109" s="134"/>
      <c r="N109" s="134"/>
      <c r="O109" s="134"/>
      <c r="P109" s="239">
        <v>0</v>
      </c>
      <c r="Q109" s="240"/>
      <c r="R109" s="240"/>
      <c r="S109" s="240"/>
      <c r="T109" s="145">
        <f t="shared" si="60"/>
        <v>0</v>
      </c>
      <c r="U109" s="244">
        <f>I109+M109+Q109</f>
        <v>0</v>
      </c>
      <c r="V109" s="145">
        <f t="shared" si="52"/>
        <v>0</v>
      </c>
      <c r="W109" s="145">
        <f t="shared" si="53"/>
        <v>0</v>
      </c>
      <c r="X109" s="134"/>
      <c r="Y109" s="134"/>
      <c r="Z109" s="164"/>
    </row>
    <row r="110" spans="1:26">
      <c r="A110" s="316"/>
      <c r="B110" s="39" t="s">
        <v>30</v>
      </c>
      <c r="C110" s="400"/>
      <c r="D110" s="449"/>
      <c r="E110" s="366"/>
      <c r="F110" s="366"/>
      <c r="G110" s="133">
        <v>0</v>
      </c>
      <c r="H110" s="134"/>
      <c r="I110" s="134"/>
      <c r="J110" s="134"/>
      <c r="K110" s="134"/>
      <c r="L110" s="133">
        <v>0</v>
      </c>
      <c r="M110" s="134"/>
      <c r="N110" s="134"/>
      <c r="O110" s="134"/>
      <c r="P110" s="239">
        <v>0</v>
      </c>
      <c r="Q110" s="240"/>
      <c r="R110" s="240"/>
      <c r="S110" s="240"/>
      <c r="T110" s="145">
        <f t="shared" si="60"/>
        <v>0</v>
      </c>
      <c r="U110" s="244">
        <f t="shared" ref="U110:U111" si="61">I110+M110+Q110</f>
        <v>0</v>
      </c>
      <c r="V110" s="145">
        <f t="shared" si="52"/>
        <v>0</v>
      </c>
      <c r="W110" s="145">
        <f t="shared" si="53"/>
        <v>0</v>
      </c>
      <c r="X110" s="134"/>
      <c r="Y110" s="134"/>
      <c r="Z110" s="164"/>
    </row>
    <row r="111" spans="1:26">
      <c r="A111" s="316"/>
      <c r="B111" s="39" t="s">
        <v>31</v>
      </c>
      <c r="C111" s="400"/>
      <c r="D111" s="449"/>
      <c r="E111" s="366"/>
      <c r="F111" s="366"/>
      <c r="G111" s="133">
        <v>0</v>
      </c>
      <c r="H111" s="134"/>
      <c r="I111" s="134"/>
      <c r="J111" s="134"/>
      <c r="K111" s="134"/>
      <c r="L111" s="133">
        <v>0</v>
      </c>
      <c r="M111" s="134"/>
      <c r="N111" s="134"/>
      <c r="O111" s="134"/>
      <c r="P111" s="239">
        <v>0</v>
      </c>
      <c r="Q111" s="240"/>
      <c r="R111" s="240"/>
      <c r="S111" s="240"/>
      <c r="T111" s="145">
        <f t="shared" si="60"/>
        <v>0</v>
      </c>
      <c r="U111" s="244">
        <f t="shared" si="61"/>
        <v>0</v>
      </c>
      <c r="V111" s="145">
        <f t="shared" si="52"/>
        <v>0</v>
      </c>
      <c r="W111" s="145">
        <f t="shared" si="53"/>
        <v>0</v>
      </c>
      <c r="X111" s="134"/>
      <c r="Y111" s="134"/>
      <c r="Z111" s="164"/>
    </row>
    <row r="112" spans="1:26">
      <c r="A112" s="316"/>
      <c r="B112" s="22" t="s">
        <v>35</v>
      </c>
      <c r="C112" s="400"/>
      <c r="D112" s="450"/>
      <c r="E112" s="393"/>
      <c r="F112" s="393"/>
      <c r="G112" s="134">
        <v>0</v>
      </c>
      <c r="H112" s="134"/>
      <c r="I112" s="134"/>
      <c r="J112" s="134"/>
      <c r="K112" s="134"/>
      <c r="L112" s="134">
        <v>0</v>
      </c>
      <c r="M112" s="134"/>
      <c r="N112" s="134"/>
      <c r="O112" s="134"/>
      <c r="P112" s="240">
        <v>0</v>
      </c>
      <c r="Q112" s="240"/>
      <c r="R112" s="240"/>
      <c r="S112" s="240"/>
      <c r="T112" s="144">
        <f t="shared" si="60"/>
        <v>0</v>
      </c>
      <c r="U112" s="243">
        <f>I112+M112+Q112</f>
        <v>0</v>
      </c>
      <c r="V112" s="144">
        <f t="shared" si="52"/>
        <v>0</v>
      </c>
      <c r="W112" s="144">
        <f t="shared" si="53"/>
        <v>0</v>
      </c>
      <c r="X112" s="134"/>
      <c r="Y112" s="134"/>
      <c r="Z112" s="164"/>
    </row>
    <row r="113" spans="1:26">
      <c r="A113" s="317"/>
      <c r="B113" s="22" t="s">
        <v>36</v>
      </c>
      <c r="C113" s="401"/>
      <c r="D113" s="451"/>
      <c r="E113" s="392"/>
      <c r="F113" s="392"/>
      <c r="G113" s="134">
        <v>0</v>
      </c>
      <c r="H113" s="134"/>
      <c r="I113" s="134"/>
      <c r="J113" s="134"/>
      <c r="K113" s="134"/>
      <c r="L113" s="134">
        <v>0</v>
      </c>
      <c r="M113" s="134"/>
      <c r="N113" s="134"/>
      <c r="O113" s="134"/>
      <c r="P113" s="240">
        <v>0</v>
      </c>
      <c r="Q113" s="240"/>
      <c r="R113" s="240"/>
      <c r="S113" s="240"/>
      <c r="T113" s="144">
        <f t="shared" si="60"/>
        <v>0</v>
      </c>
      <c r="U113" s="243">
        <f>I113+M113+Q113</f>
        <v>0</v>
      </c>
      <c r="V113" s="144">
        <f t="shared" si="52"/>
        <v>0</v>
      </c>
      <c r="W113" s="144">
        <f t="shared" si="53"/>
        <v>0</v>
      </c>
      <c r="X113" s="134"/>
      <c r="Y113" s="134"/>
      <c r="Z113" s="164"/>
    </row>
    <row r="114" spans="1:26" ht="25.5">
      <c r="A114" s="315" t="s">
        <v>125</v>
      </c>
      <c r="B114" s="18" t="s">
        <v>107</v>
      </c>
      <c r="C114" s="432" t="s">
        <v>41</v>
      </c>
      <c r="D114" s="448" t="s">
        <v>47</v>
      </c>
      <c r="E114" s="300"/>
      <c r="F114" s="300" t="s">
        <v>17</v>
      </c>
      <c r="G114" s="24">
        <f>G115+G117+G119+G123+G124</f>
        <v>3566.2</v>
      </c>
      <c r="H114" s="24">
        <f>H115+H117+H119+H123+H124</f>
        <v>0</v>
      </c>
      <c r="I114" s="134"/>
      <c r="J114" s="134"/>
      <c r="K114" s="134"/>
      <c r="L114" s="24">
        <f>L115+L117+L119+L123+L124</f>
        <v>324.2</v>
      </c>
      <c r="M114" s="134">
        <v>0</v>
      </c>
      <c r="N114" s="134">
        <v>0</v>
      </c>
      <c r="O114" s="134">
        <v>0</v>
      </c>
      <c r="P114" s="24">
        <f>P115+P117+P119+P123+P124</f>
        <v>0</v>
      </c>
      <c r="Q114" s="240">
        <v>0</v>
      </c>
      <c r="R114" s="240">
        <v>0</v>
      </c>
      <c r="S114" s="240">
        <v>0</v>
      </c>
      <c r="T114" s="24">
        <f>H114+L114+P114</f>
        <v>324.2</v>
      </c>
      <c r="U114" s="24">
        <f>I114+M114+Q114</f>
        <v>0</v>
      </c>
      <c r="V114" s="24">
        <f t="shared" ref="V114:W115" si="62">J114+N114+R114</f>
        <v>0</v>
      </c>
      <c r="W114" s="24">
        <f t="shared" si="62"/>
        <v>0</v>
      </c>
      <c r="X114" s="134"/>
      <c r="Y114" s="134"/>
      <c r="Z114" s="164"/>
    </row>
    <row r="115" spans="1:26">
      <c r="A115" s="316"/>
      <c r="B115" s="21" t="s">
        <v>123</v>
      </c>
      <c r="C115" s="331"/>
      <c r="D115" s="449"/>
      <c r="E115" s="366"/>
      <c r="F115" s="366"/>
      <c r="G115" s="285">
        <v>3566.2</v>
      </c>
      <c r="H115" s="285"/>
      <c r="I115" s="128"/>
      <c r="J115" s="128"/>
      <c r="K115" s="128"/>
      <c r="L115" s="285">
        <v>324.2</v>
      </c>
      <c r="M115" s="128"/>
      <c r="N115" s="128"/>
      <c r="O115" s="128"/>
      <c r="P115" s="285">
        <v>0</v>
      </c>
      <c r="Q115" s="231"/>
      <c r="R115" s="231"/>
      <c r="S115" s="231"/>
      <c r="T115" s="418">
        <f t="shared" ref="T115" si="63">H115+L115+P115</f>
        <v>324.2</v>
      </c>
      <c r="U115" s="285">
        <f>I115+M115+Q115</f>
        <v>0</v>
      </c>
      <c r="V115" s="285">
        <f t="shared" si="62"/>
        <v>0</v>
      </c>
      <c r="W115" s="285">
        <f t="shared" si="62"/>
        <v>0</v>
      </c>
      <c r="X115" s="285">
        <v>324.2</v>
      </c>
      <c r="Y115" s="285">
        <v>3242</v>
      </c>
      <c r="Z115" s="164"/>
    </row>
    <row r="116" spans="1:26">
      <c r="A116" s="316"/>
      <c r="B116" s="38" t="s">
        <v>25</v>
      </c>
      <c r="C116" s="331"/>
      <c r="D116" s="449"/>
      <c r="E116" s="366"/>
      <c r="F116" s="366"/>
      <c r="G116" s="392"/>
      <c r="H116" s="287"/>
      <c r="I116" s="130"/>
      <c r="J116" s="130"/>
      <c r="K116" s="130"/>
      <c r="L116" s="287"/>
      <c r="M116" s="130"/>
      <c r="N116" s="130"/>
      <c r="O116" s="130"/>
      <c r="P116" s="287"/>
      <c r="Q116" s="233"/>
      <c r="R116" s="233"/>
      <c r="S116" s="233"/>
      <c r="T116" s="289"/>
      <c r="U116" s="287">
        <f t="shared" ref="U116" si="64">I116+M116</f>
        <v>0</v>
      </c>
      <c r="V116" s="287">
        <f t="shared" ref="V116" si="65">J116+N116</f>
        <v>0</v>
      </c>
      <c r="W116" s="287">
        <f t="shared" ref="W116" si="66">K116+O116</f>
        <v>0</v>
      </c>
      <c r="X116" s="287"/>
      <c r="Y116" s="287"/>
      <c r="Z116" s="164"/>
    </row>
    <row r="117" spans="1:26">
      <c r="A117" s="316"/>
      <c r="B117" s="22" t="s">
        <v>27</v>
      </c>
      <c r="C117" s="331"/>
      <c r="D117" s="449"/>
      <c r="E117" s="366"/>
      <c r="F117" s="366"/>
      <c r="G117" s="134">
        <v>0</v>
      </c>
      <c r="H117" s="130"/>
      <c r="I117" s="130"/>
      <c r="J117" s="130"/>
      <c r="K117" s="130"/>
      <c r="L117" s="134">
        <v>0</v>
      </c>
      <c r="M117" s="130"/>
      <c r="N117" s="130"/>
      <c r="O117" s="130"/>
      <c r="P117" s="240">
        <v>0</v>
      </c>
      <c r="Q117" s="233"/>
      <c r="R117" s="233"/>
      <c r="S117" s="233"/>
      <c r="T117" s="144">
        <f>H117+L117</f>
        <v>0</v>
      </c>
      <c r="U117" s="243">
        <f>I117+M117+Q117</f>
        <v>0</v>
      </c>
      <c r="V117" s="144">
        <f t="shared" si="52"/>
        <v>0</v>
      </c>
      <c r="W117" s="144">
        <f t="shared" si="53"/>
        <v>0</v>
      </c>
      <c r="X117" s="130"/>
      <c r="Y117" s="130"/>
      <c r="Z117" s="164"/>
    </row>
    <row r="118" spans="1:26">
      <c r="A118" s="316"/>
      <c r="B118" s="39" t="s">
        <v>37</v>
      </c>
      <c r="C118" s="331"/>
      <c r="D118" s="449"/>
      <c r="E118" s="366"/>
      <c r="F118" s="366"/>
      <c r="G118" s="133">
        <v>0</v>
      </c>
      <c r="H118" s="130"/>
      <c r="I118" s="130"/>
      <c r="J118" s="130"/>
      <c r="K118" s="130"/>
      <c r="L118" s="133">
        <v>0</v>
      </c>
      <c r="M118" s="130"/>
      <c r="N118" s="130"/>
      <c r="O118" s="130"/>
      <c r="P118" s="239">
        <v>0</v>
      </c>
      <c r="Q118" s="233"/>
      <c r="R118" s="233"/>
      <c r="S118" s="233"/>
      <c r="T118" s="145">
        <f t="shared" ref="T118:T124" si="67">H118+L118</f>
        <v>0</v>
      </c>
      <c r="U118" s="244">
        <f>I118+M118+Q118</f>
        <v>0</v>
      </c>
      <c r="V118" s="145">
        <f t="shared" si="52"/>
        <v>0</v>
      </c>
      <c r="W118" s="145">
        <f t="shared" si="53"/>
        <v>0</v>
      </c>
      <c r="X118" s="130"/>
      <c r="Y118" s="130"/>
      <c r="Z118" s="164"/>
    </row>
    <row r="119" spans="1:26">
      <c r="A119" s="316"/>
      <c r="B119" s="22" t="s">
        <v>28</v>
      </c>
      <c r="C119" s="331"/>
      <c r="D119" s="449"/>
      <c r="E119" s="366"/>
      <c r="F119" s="366"/>
      <c r="G119" s="134">
        <v>0</v>
      </c>
      <c r="H119" s="130"/>
      <c r="I119" s="130"/>
      <c r="J119" s="130"/>
      <c r="K119" s="130"/>
      <c r="L119" s="134">
        <v>0</v>
      </c>
      <c r="M119" s="130"/>
      <c r="N119" s="130"/>
      <c r="O119" s="130"/>
      <c r="P119" s="240">
        <v>0</v>
      </c>
      <c r="Q119" s="233"/>
      <c r="R119" s="233"/>
      <c r="S119" s="233"/>
      <c r="T119" s="144">
        <f t="shared" si="67"/>
        <v>0</v>
      </c>
      <c r="U119" s="243">
        <f>I119+M119+Q119</f>
        <v>0</v>
      </c>
      <c r="V119" s="144">
        <f t="shared" si="52"/>
        <v>0</v>
      </c>
      <c r="W119" s="144">
        <f t="shared" si="53"/>
        <v>0</v>
      </c>
      <c r="X119" s="130"/>
      <c r="Y119" s="130"/>
      <c r="Z119" s="164"/>
    </row>
    <row r="120" spans="1:26">
      <c r="A120" s="316"/>
      <c r="B120" s="39" t="s">
        <v>29</v>
      </c>
      <c r="C120" s="400"/>
      <c r="D120" s="449"/>
      <c r="E120" s="366"/>
      <c r="F120" s="366"/>
      <c r="G120" s="133">
        <v>0</v>
      </c>
      <c r="H120" s="134"/>
      <c r="I120" s="134"/>
      <c r="J120" s="134"/>
      <c r="K120" s="134"/>
      <c r="L120" s="133">
        <v>0</v>
      </c>
      <c r="M120" s="134"/>
      <c r="N120" s="134"/>
      <c r="O120" s="134"/>
      <c r="P120" s="239">
        <v>0</v>
      </c>
      <c r="Q120" s="240"/>
      <c r="R120" s="240"/>
      <c r="S120" s="240"/>
      <c r="T120" s="145">
        <f t="shared" si="67"/>
        <v>0</v>
      </c>
      <c r="U120" s="244">
        <f>I120+M120+Q120</f>
        <v>0</v>
      </c>
      <c r="V120" s="145">
        <f t="shared" si="52"/>
        <v>0</v>
      </c>
      <c r="W120" s="145">
        <f t="shared" si="53"/>
        <v>0</v>
      </c>
      <c r="X120" s="134"/>
      <c r="Y120" s="134"/>
      <c r="Z120" s="164"/>
    </row>
    <row r="121" spans="1:26">
      <c r="A121" s="316"/>
      <c r="B121" s="39" t="s">
        <v>30</v>
      </c>
      <c r="C121" s="400"/>
      <c r="D121" s="449"/>
      <c r="E121" s="366"/>
      <c r="F121" s="366"/>
      <c r="G121" s="133">
        <v>0</v>
      </c>
      <c r="H121" s="134"/>
      <c r="I121" s="134"/>
      <c r="J121" s="134"/>
      <c r="K121" s="134"/>
      <c r="L121" s="133">
        <v>0</v>
      </c>
      <c r="M121" s="134"/>
      <c r="N121" s="134"/>
      <c r="O121" s="134"/>
      <c r="P121" s="239">
        <v>0</v>
      </c>
      <c r="Q121" s="240"/>
      <c r="R121" s="240"/>
      <c r="S121" s="240"/>
      <c r="T121" s="145">
        <f t="shared" si="67"/>
        <v>0</v>
      </c>
      <c r="U121" s="244">
        <f t="shared" ref="U121:U122" si="68">I121+M121+Q121</f>
        <v>0</v>
      </c>
      <c r="V121" s="145">
        <f t="shared" si="52"/>
        <v>0</v>
      </c>
      <c r="W121" s="145">
        <f t="shared" si="53"/>
        <v>0</v>
      </c>
      <c r="X121" s="134"/>
      <c r="Y121" s="134"/>
      <c r="Z121" s="164"/>
    </row>
    <row r="122" spans="1:26">
      <c r="A122" s="316"/>
      <c r="B122" s="39" t="s">
        <v>31</v>
      </c>
      <c r="C122" s="400"/>
      <c r="D122" s="449"/>
      <c r="E122" s="366"/>
      <c r="F122" s="366"/>
      <c r="G122" s="133">
        <v>0</v>
      </c>
      <c r="H122" s="134"/>
      <c r="I122" s="134"/>
      <c r="J122" s="134"/>
      <c r="K122" s="134"/>
      <c r="L122" s="133">
        <v>0</v>
      </c>
      <c r="M122" s="134"/>
      <c r="N122" s="134"/>
      <c r="O122" s="134"/>
      <c r="P122" s="239">
        <v>0</v>
      </c>
      <c r="Q122" s="240"/>
      <c r="R122" s="240"/>
      <c r="S122" s="240"/>
      <c r="T122" s="145">
        <f t="shared" si="67"/>
        <v>0</v>
      </c>
      <c r="U122" s="244">
        <f t="shared" si="68"/>
        <v>0</v>
      </c>
      <c r="V122" s="145">
        <f t="shared" si="52"/>
        <v>0</v>
      </c>
      <c r="W122" s="145">
        <f t="shared" si="53"/>
        <v>0</v>
      </c>
      <c r="X122" s="134"/>
      <c r="Y122" s="134"/>
      <c r="Z122" s="164"/>
    </row>
    <row r="123" spans="1:26">
      <c r="A123" s="316"/>
      <c r="B123" s="22" t="s">
        <v>35</v>
      </c>
      <c r="C123" s="400"/>
      <c r="D123" s="450"/>
      <c r="E123" s="393"/>
      <c r="F123" s="393"/>
      <c r="G123" s="134">
        <v>0</v>
      </c>
      <c r="H123" s="134"/>
      <c r="I123" s="134"/>
      <c r="J123" s="134"/>
      <c r="K123" s="134"/>
      <c r="L123" s="134">
        <v>0</v>
      </c>
      <c r="M123" s="134"/>
      <c r="N123" s="134"/>
      <c r="O123" s="134"/>
      <c r="P123" s="240">
        <v>0</v>
      </c>
      <c r="Q123" s="240"/>
      <c r="R123" s="240"/>
      <c r="S123" s="240"/>
      <c r="T123" s="144">
        <f t="shared" si="67"/>
        <v>0</v>
      </c>
      <c r="U123" s="243">
        <f>I123+M123+Q123</f>
        <v>0</v>
      </c>
      <c r="V123" s="144">
        <f t="shared" si="52"/>
        <v>0</v>
      </c>
      <c r="W123" s="144">
        <f t="shared" si="53"/>
        <v>0</v>
      </c>
      <c r="X123" s="134"/>
      <c r="Y123" s="134"/>
      <c r="Z123" s="164"/>
    </row>
    <row r="124" spans="1:26">
      <c r="A124" s="317"/>
      <c r="B124" s="22" t="s">
        <v>36</v>
      </c>
      <c r="C124" s="401"/>
      <c r="D124" s="451"/>
      <c r="E124" s="392"/>
      <c r="F124" s="392"/>
      <c r="G124" s="134">
        <v>0</v>
      </c>
      <c r="H124" s="134"/>
      <c r="I124" s="134"/>
      <c r="J124" s="134"/>
      <c r="K124" s="134"/>
      <c r="L124" s="134">
        <v>0</v>
      </c>
      <c r="M124" s="134"/>
      <c r="N124" s="134"/>
      <c r="O124" s="134"/>
      <c r="P124" s="240">
        <v>0</v>
      </c>
      <c r="Q124" s="240"/>
      <c r="R124" s="240"/>
      <c r="S124" s="240"/>
      <c r="T124" s="144">
        <f t="shared" si="67"/>
        <v>0</v>
      </c>
      <c r="U124" s="243">
        <f>I124+M124+Q124</f>
        <v>0</v>
      </c>
      <c r="V124" s="144">
        <f t="shared" si="52"/>
        <v>0</v>
      </c>
      <c r="W124" s="144">
        <f t="shared" si="53"/>
        <v>0</v>
      </c>
      <c r="X124" s="134"/>
      <c r="Y124" s="134"/>
      <c r="Z124" s="165"/>
    </row>
    <row r="125" spans="1:26" ht="25.5">
      <c r="A125" s="315" t="s">
        <v>126</v>
      </c>
      <c r="B125" s="15" t="s">
        <v>108</v>
      </c>
      <c r="C125" s="432" t="s">
        <v>41</v>
      </c>
      <c r="D125" s="448" t="s">
        <v>47</v>
      </c>
      <c r="E125" s="300"/>
      <c r="F125" s="300" t="s">
        <v>17</v>
      </c>
      <c r="G125" s="24">
        <f>G126+G128+G130+G134+G135</f>
        <v>2899.6</v>
      </c>
      <c r="H125" s="24">
        <f>H126+H128+H130+H134+H135</f>
        <v>0</v>
      </c>
      <c r="I125" s="134"/>
      <c r="J125" s="134"/>
      <c r="K125" s="134"/>
      <c r="L125" s="24">
        <f>L126+L128+L130+L134+L135</f>
        <v>263.60000000000002</v>
      </c>
      <c r="M125" s="134">
        <v>0</v>
      </c>
      <c r="N125" s="134">
        <v>0</v>
      </c>
      <c r="O125" s="134">
        <v>0</v>
      </c>
      <c r="P125" s="24">
        <f>P126+P128+P130+P134+P135</f>
        <v>0</v>
      </c>
      <c r="Q125" s="240">
        <v>0</v>
      </c>
      <c r="R125" s="240">
        <v>0</v>
      </c>
      <c r="S125" s="240">
        <v>0</v>
      </c>
      <c r="T125" s="24">
        <f>H125+L125+P125</f>
        <v>263.60000000000002</v>
      </c>
      <c r="U125" s="24">
        <f>I125+M125+Q125</f>
        <v>0</v>
      </c>
      <c r="V125" s="24">
        <f t="shared" ref="V125:W126" si="69">J125+N125+R125</f>
        <v>0</v>
      </c>
      <c r="W125" s="24">
        <f t="shared" si="69"/>
        <v>0</v>
      </c>
      <c r="X125" s="134"/>
      <c r="Y125" s="134"/>
      <c r="Z125" s="166"/>
    </row>
    <row r="126" spans="1:26">
      <c r="A126" s="316"/>
      <c r="B126" s="21" t="s">
        <v>123</v>
      </c>
      <c r="C126" s="331"/>
      <c r="D126" s="449"/>
      <c r="E126" s="366"/>
      <c r="F126" s="366"/>
      <c r="G126" s="285">
        <v>2899.6</v>
      </c>
      <c r="H126" s="285"/>
      <c r="I126" s="128"/>
      <c r="J126" s="128"/>
      <c r="K126" s="128"/>
      <c r="L126" s="285">
        <v>263.60000000000002</v>
      </c>
      <c r="M126" s="128"/>
      <c r="N126" s="128"/>
      <c r="O126" s="128"/>
      <c r="P126" s="285">
        <v>0</v>
      </c>
      <c r="Q126" s="231"/>
      <c r="R126" s="231"/>
      <c r="S126" s="231"/>
      <c r="T126" s="418">
        <f t="shared" ref="T126" si="70">H126+L126+P126</f>
        <v>263.60000000000002</v>
      </c>
      <c r="U126" s="285">
        <f>I126+M126+Q126</f>
        <v>0</v>
      </c>
      <c r="V126" s="285">
        <f t="shared" si="69"/>
        <v>0</v>
      </c>
      <c r="W126" s="285">
        <f t="shared" si="69"/>
        <v>0</v>
      </c>
      <c r="X126" s="285">
        <v>263.60000000000002</v>
      </c>
      <c r="Y126" s="285">
        <v>2636</v>
      </c>
      <c r="Z126" s="164"/>
    </row>
    <row r="127" spans="1:26">
      <c r="A127" s="316"/>
      <c r="B127" s="38" t="s">
        <v>25</v>
      </c>
      <c r="C127" s="331"/>
      <c r="D127" s="449"/>
      <c r="E127" s="366"/>
      <c r="F127" s="366"/>
      <c r="G127" s="392"/>
      <c r="H127" s="287"/>
      <c r="I127" s="130"/>
      <c r="J127" s="130"/>
      <c r="K127" s="130"/>
      <c r="L127" s="287"/>
      <c r="M127" s="130"/>
      <c r="N127" s="130"/>
      <c r="O127" s="130"/>
      <c r="P127" s="287"/>
      <c r="Q127" s="233"/>
      <c r="R127" s="233"/>
      <c r="S127" s="233"/>
      <c r="T127" s="289"/>
      <c r="U127" s="287">
        <f t="shared" ref="U127" si="71">I127+M127</f>
        <v>0</v>
      </c>
      <c r="V127" s="287">
        <f t="shared" ref="V127" si="72">J127+N127</f>
        <v>0</v>
      </c>
      <c r="W127" s="287">
        <f t="shared" ref="W127" si="73">K127+O127</f>
        <v>0</v>
      </c>
      <c r="X127" s="287"/>
      <c r="Y127" s="287"/>
      <c r="Z127" s="164"/>
    </row>
    <row r="128" spans="1:26">
      <c r="A128" s="316"/>
      <c r="B128" s="22" t="s">
        <v>27</v>
      </c>
      <c r="C128" s="331"/>
      <c r="D128" s="449"/>
      <c r="E128" s="366"/>
      <c r="F128" s="366"/>
      <c r="G128" s="134">
        <v>0</v>
      </c>
      <c r="H128" s="130"/>
      <c r="I128" s="130"/>
      <c r="J128" s="130"/>
      <c r="K128" s="130"/>
      <c r="L128" s="134">
        <v>0</v>
      </c>
      <c r="M128" s="130"/>
      <c r="N128" s="130"/>
      <c r="O128" s="130"/>
      <c r="P128" s="240">
        <v>0</v>
      </c>
      <c r="Q128" s="233"/>
      <c r="R128" s="233"/>
      <c r="S128" s="233"/>
      <c r="T128" s="144">
        <f>H128+L128</f>
        <v>0</v>
      </c>
      <c r="U128" s="243">
        <f>I128+M128+Q128</f>
        <v>0</v>
      </c>
      <c r="V128" s="144">
        <f t="shared" si="52"/>
        <v>0</v>
      </c>
      <c r="W128" s="144">
        <f t="shared" si="53"/>
        <v>0</v>
      </c>
      <c r="X128" s="130"/>
      <c r="Y128" s="130"/>
      <c r="Z128" s="164"/>
    </row>
    <row r="129" spans="1:26">
      <c r="A129" s="316"/>
      <c r="B129" s="39" t="s">
        <v>37</v>
      </c>
      <c r="C129" s="331"/>
      <c r="D129" s="449"/>
      <c r="E129" s="366"/>
      <c r="F129" s="366"/>
      <c r="G129" s="133">
        <v>0</v>
      </c>
      <c r="H129" s="130"/>
      <c r="I129" s="130"/>
      <c r="J129" s="130"/>
      <c r="K129" s="130"/>
      <c r="L129" s="133">
        <v>0</v>
      </c>
      <c r="M129" s="130"/>
      <c r="N129" s="130"/>
      <c r="O129" s="130"/>
      <c r="P129" s="239">
        <v>0</v>
      </c>
      <c r="Q129" s="233"/>
      <c r="R129" s="233"/>
      <c r="S129" s="233"/>
      <c r="T129" s="145">
        <f t="shared" ref="T129:T135" si="74">H129+L129</f>
        <v>0</v>
      </c>
      <c r="U129" s="244">
        <f>I129+M129+Q129</f>
        <v>0</v>
      </c>
      <c r="V129" s="145">
        <f t="shared" si="52"/>
        <v>0</v>
      </c>
      <c r="W129" s="145">
        <f t="shared" si="53"/>
        <v>0</v>
      </c>
      <c r="X129" s="130"/>
      <c r="Y129" s="130"/>
      <c r="Z129" s="164"/>
    </row>
    <row r="130" spans="1:26">
      <c r="A130" s="316"/>
      <c r="B130" s="22" t="s">
        <v>28</v>
      </c>
      <c r="C130" s="331"/>
      <c r="D130" s="449"/>
      <c r="E130" s="366"/>
      <c r="F130" s="366"/>
      <c r="G130" s="134">
        <v>0</v>
      </c>
      <c r="H130" s="130"/>
      <c r="I130" s="130"/>
      <c r="J130" s="130"/>
      <c r="K130" s="130"/>
      <c r="L130" s="134">
        <v>0</v>
      </c>
      <c r="M130" s="130"/>
      <c r="N130" s="130"/>
      <c r="O130" s="130"/>
      <c r="P130" s="240">
        <v>0</v>
      </c>
      <c r="Q130" s="233"/>
      <c r="R130" s="233"/>
      <c r="S130" s="233"/>
      <c r="T130" s="144">
        <f t="shared" si="74"/>
        <v>0</v>
      </c>
      <c r="U130" s="243">
        <f>I130+M130+Q130</f>
        <v>0</v>
      </c>
      <c r="V130" s="144">
        <f t="shared" si="52"/>
        <v>0</v>
      </c>
      <c r="W130" s="144">
        <f t="shared" si="53"/>
        <v>0</v>
      </c>
      <c r="X130" s="130"/>
      <c r="Y130" s="130"/>
      <c r="Z130" s="164"/>
    </row>
    <row r="131" spans="1:26">
      <c r="A131" s="316"/>
      <c r="B131" s="39" t="s">
        <v>29</v>
      </c>
      <c r="C131" s="400"/>
      <c r="D131" s="449"/>
      <c r="E131" s="366"/>
      <c r="F131" s="366"/>
      <c r="G131" s="133">
        <v>0</v>
      </c>
      <c r="H131" s="134"/>
      <c r="I131" s="134"/>
      <c r="J131" s="134"/>
      <c r="K131" s="134"/>
      <c r="L131" s="133">
        <v>0</v>
      </c>
      <c r="M131" s="134"/>
      <c r="N131" s="134"/>
      <c r="O131" s="134"/>
      <c r="P131" s="239">
        <v>0</v>
      </c>
      <c r="Q131" s="240"/>
      <c r="R131" s="240"/>
      <c r="S131" s="240"/>
      <c r="T131" s="145">
        <f t="shared" si="74"/>
        <v>0</v>
      </c>
      <c r="U131" s="244">
        <f>I131+M131+Q131</f>
        <v>0</v>
      </c>
      <c r="V131" s="145">
        <f t="shared" si="52"/>
        <v>0</v>
      </c>
      <c r="W131" s="145">
        <f t="shared" si="53"/>
        <v>0</v>
      </c>
      <c r="X131" s="134"/>
      <c r="Y131" s="134"/>
      <c r="Z131" s="164"/>
    </row>
    <row r="132" spans="1:26">
      <c r="A132" s="316"/>
      <c r="B132" s="39" t="s">
        <v>30</v>
      </c>
      <c r="C132" s="400"/>
      <c r="D132" s="449"/>
      <c r="E132" s="366"/>
      <c r="F132" s="366"/>
      <c r="G132" s="133">
        <v>0</v>
      </c>
      <c r="H132" s="134"/>
      <c r="I132" s="134"/>
      <c r="J132" s="134"/>
      <c r="K132" s="134"/>
      <c r="L132" s="133">
        <v>0</v>
      </c>
      <c r="M132" s="134"/>
      <c r="N132" s="134"/>
      <c r="O132" s="134"/>
      <c r="P132" s="239">
        <v>0</v>
      </c>
      <c r="Q132" s="240"/>
      <c r="R132" s="240"/>
      <c r="S132" s="240"/>
      <c r="T132" s="145">
        <f t="shared" si="74"/>
        <v>0</v>
      </c>
      <c r="U132" s="244">
        <f t="shared" ref="U132:U133" si="75">I132+M132+Q132</f>
        <v>0</v>
      </c>
      <c r="V132" s="145">
        <f t="shared" si="52"/>
        <v>0</v>
      </c>
      <c r="W132" s="145">
        <f t="shared" si="53"/>
        <v>0</v>
      </c>
      <c r="X132" s="134"/>
      <c r="Y132" s="134"/>
      <c r="Z132" s="164"/>
    </row>
    <row r="133" spans="1:26">
      <c r="A133" s="316"/>
      <c r="B133" s="39" t="s">
        <v>31</v>
      </c>
      <c r="C133" s="400"/>
      <c r="D133" s="449"/>
      <c r="E133" s="366"/>
      <c r="F133" s="366"/>
      <c r="G133" s="133">
        <v>0</v>
      </c>
      <c r="H133" s="134"/>
      <c r="I133" s="134"/>
      <c r="J133" s="134"/>
      <c r="K133" s="134"/>
      <c r="L133" s="133">
        <v>0</v>
      </c>
      <c r="M133" s="134"/>
      <c r="N133" s="134"/>
      <c r="O133" s="134"/>
      <c r="P133" s="239">
        <v>0</v>
      </c>
      <c r="Q133" s="240"/>
      <c r="R133" s="240"/>
      <c r="S133" s="240"/>
      <c r="T133" s="145">
        <f t="shared" si="74"/>
        <v>0</v>
      </c>
      <c r="U133" s="244">
        <f t="shared" si="75"/>
        <v>0</v>
      </c>
      <c r="V133" s="145">
        <f t="shared" si="52"/>
        <v>0</v>
      </c>
      <c r="W133" s="145">
        <f t="shared" si="53"/>
        <v>0</v>
      </c>
      <c r="X133" s="134"/>
      <c r="Y133" s="134"/>
      <c r="Z133" s="164"/>
    </row>
    <row r="134" spans="1:26">
      <c r="A134" s="316"/>
      <c r="B134" s="22" t="s">
        <v>35</v>
      </c>
      <c r="C134" s="400"/>
      <c r="D134" s="450"/>
      <c r="E134" s="393"/>
      <c r="F134" s="393"/>
      <c r="G134" s="134">
        <v>0</v>
      </c>
      <c r="H134" s="134"/>
      <c r="I134" s="134"/>
      <c r="J134" s="134"/>
      <c r="K134" s="134"/>
      <c r="L134" s="134">
        <v>0</v>
      </c>
      <c r="M134" s="134"/>
      <c r="N134" s="134"/>
      <c r="O134" s="134"/>
      <c r="P134" s="240">
        <v>0</v>
      </c>
      <c r="Q134" s="240"/>
      <c r="R134" s="240"/>
      <c r="S134" s="240"/>
      <c r="T134" s="144">
        <f t="shared" si="74"/>
        <v>0</v>
      </c>
      <c r="U134" s="243">
        <f>I134+M134+Q134</f>
        <v>0</v>
      </c>
      <c r="V134" s="144">
        <f t="shared" si="52"/>
        <v>0</v>
      </c>
      <c r="W134" s="144">
        <f t="shared" si="53"/>
        <v>0</v>
      </c>
      <c r="X134" s="134"/>
      <c r="Y134" s="134"/>
      <c r="Z134" s="164"/>
    </row>
    <row r="135" spans="1:26">
      <c r="A135" s="317"/>
      <c r="B135" s="22" t="s">
        <v>36</v>
      </c>
      <c r="C135" s="401"/>
      <c r="D135" s="451"/>
      <c r="E135" s="392"/>
      <c r="F135" s="392"/>
      <c r="G135" s="134">
        <v>0</v>
      </c>
      <c r="H135" s="134"/>
      <c r="I135" s="134"/>
      <c r="J135" s="134"/>
      <c r="K135" s="134"/>
      <c r="L135" s="134">
        <v>0</v>
      </c>
      <c r="M135" s="134"/>
      <c r="N135" s="134"/>
      <c r="O135" s="134"/>
      <c r="P135" s="240">
        <v>0</v>
      </c>
      <c r="Q135" s="240"/>
      <c r="R135" s="240"/>
      <c r="S135" s="240"/>
      <c r="T135" s="144">
        <f t="shared" si="74"/>
        <v>0</v>
      </c>
      <c r="U135" s="243">
        <f>I135+M135+Q135</f>
        <v>0</v>
      </c>
      <c r="V135" s="144">
        <f t="shared" si="52"/>
        <v>0</v>
      </c>
      <c r="W135" s="144">
        <f t="shared" si="53"/>
        <v>0</v>
      </c>
      <c r="X135" s="134"/>
      <c r="Y135" s="134"/>
      <c r="Z135" s="164"/>
    </row>
    <row r="136" spans="1:26" ht="25.5">
      <c r="A136" s="315" t="s">
        <v>129</v>
      </c>
      <c r="B136" s="15" t="s">
        <v>102</v>
      </c>
      <c r="C136" s="167"/>
      <c r="D136" s="168"/>
      <c r="E136" s="169"/>
      <c r="F136" s="169"/>
      <c r="G136" s="24">
        <f>G137</f>
        <v>370824.7</v>
      </c>
      <c r="H136" s="24">
        <f>H137</f>
        <v>60000</v>
      </c>
      <c r="I136" s="24">
        <f t="shared" ref="I136:K136" si="76">I137</f>
        <v>0</v>
      </c>
      <c r="J136" s="24">
        <f t="shared" si="76"/>
        <v>51257.179999999993</v>
      </c>
      <c r="K136" s="24">
        <f t="shared" si="76"/>
        <v>83705.675999999978</v>
      </c>
      <c r="L136" s="24">
        <f>L137</f>
        <v>155412.4</v>
      </c>
      <c r="M136" s="24">
        <f t="shared" ref="M136:S136" si="77">M137</f>
        <v>0</v>
      </c>
      <c r="N136" s="24">
        <f t="shared" si="77"/>
        <v>3488.7990000000009</v>
      </c>
      <c r="O136" s="24">
        <f t="shared" si="77"/>
        <v>0</v>
      </c>
      <c r="P136" s="24">
        <f>P137</f>
        <v>0</v>
      </c>
      <c r="Q136" s="24">
        <f t="shared" si="77"/>
        <v>0</v>
      </c>
      <c r="R136" s="24">
        <f t="shared" si="77"/>
        <v>0</v>
      </c>
      <c r="S136" s="24">
        <f t="shared" si="77"/>
        <v>0</v>
      </c>
      <c r="T136" s="24">
        <f>H136+L136+P136</f>
        <v>215412.4</v>
      </c>
      <c r="U136" s="24">
        <f>I136+M136+Q136</f>
        <v>0</v>
      </c>
      <c r="V136" s="24">
        <f t="shared" ref="V136:W137" si="78">J136+N136+R136</f>
        <v>54745.978999999992</v>
      </c>
      <c r="W136" s="24">
        <f t="shared" si="78"/>
        <v>83705.675999999978</v>
      </c>
      <c r="X136" s="24"/>
      <c r="Y136" s="24"/>
      <c r="Z136" s="164"/>
    </row>
    <row r="137" spans="1:26" ht="15" customHeight="1">
      <c r="A137" s="393"/>
      <c r="B137" s="21" t="s">
        <v>123</v>
      </c>
      <c r="C137" s="167"/>
      <c r="D137" s="168"/>
      <c r="E137" s="169"/>
      <c r="F137" s="169"/>
      <c r="G137" s="285">
        <v>370824.7</v>
      </c>
      <c r="H137" s="288">
        <v>60000</v>
      </c>
      <c r="I137" s="288"/>
      <c r="J137" s="288">
        <f>9233.2+4176.39+20704.22-1+2963.52-200+14380.85</f>
        <v>51257.179999999993</v>
      </c>
      <c r="K137" s="288">
        <f>200+490.405+13192.051+22462.142+360.143-0.8+32821.085-200+14380.65</f>
        <v>83705.675999999978</v>
      </c>
      <c r="L137" s="288">
        <v>155412.4</v>
      </c>
      <c r="M137" s="131">
        <v>0</v>
      </c>
      <c r="N137" s="131">
        <f>8608.799-5120</f>
        <v>3488.7990000000009</v>
      </c>
      <c r="O137" s="131">
        <v>0</v>
      </c>
      <c r="P137" s="288">
        <v>0</v>
      </c>
      <c r="Q137" s="237">
        <v>0</v>
      </c>
      <c r="R137" s="274">
        <f>8706.75-6569.746-2137.004</f>
        <v>0</v>
      </c>
      <c r="S137" s="237">
        <v>0</v>
      </c>
      <c r="T137" s="418">
        <f t="shared" ref="T137" si="79">H137+L137+P137</f>
        <v>215412.4</v>
      </c>
      <c r="U137" s="285">
        <f>I137+M137+Q137</f>
        <v>0</v>
      </c>
      <c r="V137" s="285">
        <f t="shared" si="78"/>
        <v>54745.978999999992</v>
      </c>
      <c r="W137" s="285">
        <f t="shared" si="78"/>
        <v>83705.675999999978</v>
      </c>
      <c r="X137" s="288">
        <v>155412.4</v>
      </c>
      <c r="Y137" s="288">
        <v>155412.29999999999</v>
      </c>
      <c r="Z137" s="164"/>
    </row>
    <row r="138" spans="1:26">
      <c r="A138" s="392"/>
      <c r="B138" s="38" t="s">
        <v>25</v>
      </c>
      <c r="C138" s="167"/>
      <c r="D138" s="168"/>
      <c r="E138" s="169"/>
      <c r="F138" s="169"/>
      <c r="G138" s="392"/>
      <c r="H138" s="380"/>
      <c r="I138" s="380"/>
      <c r="J138" s="380"/>
      <c r="K138" s="380"/>
      <c r="L138" s="380"/>
      <c r="M138" s="132"/>
      <c r="N138" s="132"/>
      <c r="O138" s="132"/>
      <c r="P138" s="380"/>
      <c r="Q138" s="238"/>
      <c r="R138" s="238"/>
      <c r="S138" s="238"/>
      <c r="T138" s="289"/>
      <c r="U138" s="287">
        <f t="shared" si="51"/>
        <v>0</v>
      </c>
      <c r="V138" s="287">
        <f t="shared" ref="V138" si="80">J138+N138</f>
        <v>0</v>
      </c>
      <c r="W138" s="287">
        <f t="shared" ref="W138" si="81">K138+O138</f>
        <v>0</v>
      </c>
      <c r="X138" s="380"/>
      <c r="Y138" s="380"/>
      <c r="Z138" s="164"/>
    </row>
    <row r="139" spans="1:26" ht="15">
      <c r="A139" s="364"/>
      <c r="B139" s="16" t="s">
        <v>13</v>
      </c>
      <c r="C139" s="343"/>
      <c r="D139" s="427"/>
      <c r="E139" s="320">
        <f>G81+G61+G6+G92+G103+G114+G125+G136+G31</f>
        <v>1978015.7</v>
      </c>
      <c r="F139" s="320">
        <f>G82+G62+G7+G93+G104+G115+G126+G137+G32</f>
        <v>1228525.5</v>
      </c>
      <c r="G139" s="134">
        <f>G140+G142+G144+G148+G150+G149</f>
        <v>1978015.7</v>
      </c>
      <c r="H139" s="134">
        <f>H140+H142+H144+H148+H150+H149</f>
        <v>663142.40000000002</v>
      </c>
      <c r="I139" s="134">
        <f t="shared" ref="I139:J139" si="82">I140+I142+I144+I148+I150+I149</f>
        <v>421549.60199999996</v>
      </c>
      <c r="J139" s="134">
        <f t="shared" si="82"/>
        <v>297016.77</v>
      </c>
      <c r="K139" s="134">
        <f>K140+K142+K144+K148+K150+K149</f>
        <v>329465.266</v>
      </c>
      <c r="L139" s="134">
        <f>L140+L142+L144+L148+L150+L149</f>
        <v>989533</v>
      </c>
      <c r="M139" s="134">
        <f>M140+M142+M144+M148+M150+M149</f>
        <v>98292.13</v>
      </c>
      <c r="N139" s="134">
        <f t="shared" ref="N139:O139" si="83">N140+N142+N144+N148+N150+N149</f>
        <v>500465.63</v>
      </c>
      <c r="O139" s="134">
        <f t="shared" si="83"/>
        <v>147236.77400000003</v>
      </c>
      <c r="P139" s="240">
        <f>P140+P142+P144+P148+P150+P149</f>
        <v>0</v>
      </c>
      <c r="Q139" s="240">
        <f>Q140+Q142+Q144+Q148+Q150+Q149</f>
        <v>3442.2160000000003</v>
      </c>
      <c r="R139" s="240">
        <f t="shared" ref="R139:S139" si="84">R140+R142+R144+R148+R150+R149</f>
        <v>67524.303000000014</v>
      </c>
      <c r="S139" s="240">
        <f t="shared" si="84"/>
        <v>81495.547999999995</v>
      </c>
      <c r="T139" s="134">
        <f>T140+T142+T144+T148+T150+T149</f>
        <v>1652675.4</v>
      </c>
      <c r="U139" s="144">
        <f>U140+U142+U144+U148+U150+U149</f>
        <v>523283.94799999997</v>
      </c>
      <c r="V139" s="268">
        <f t="shared" ref="V139:W139" si="85">V140+V142+V144+V148+V150+V149</f>
        <v>865006.70299999998</v>
      </c>
      <c r="W139" s="268">
        <f t="shared" si="85"/>
        <v>558197.58799999999</v>
      </c>
      <c r="X139" s="134">
        <f>X140+X142+X144+X148+X150+X149</f>
        <v>484314.625</v>
      </c>
      <c r="Y139" s="134">
        <f>Y140+Y142+Y144+Y148+Y150+Y149</f>
        <v>569397.23</v>
      </c>
      <c r="Z139" s="441">
        <f>SUM(H139:Y139)</f>
        <v>8252039.1329999994</v>
      </c>
    </row>
    <row r="140" spans="1:26">
      <c r="A140" s="316"/>
      <c r="B140" s="21" t="s">
        <v>123</v>
      </c>
      <c r="C140" s="344"/>
      <c r="D140" s="358"/>
      <c r="E140" s="321"/>
      <c r="F140" s="321"/>
      <c r="G140" s="285">
        <v>1228525.5</v>
      </c>
      <c r="H140" s="381">
        <f t="shared" ref="H140:Y140" si="86">H82+H62+H7+H93+H32+H104+H115+H126+H137</f>
        <v>85177.2</v>
      </c>
      <c r="I140" s="381">
        <f t="shared" si="86"/>
        <v>224725.40499999997</v>
      </c>
      <c r="J140" s="381">
        <f t="shared" si="86"/>
        <v>75785.167999999991</v>
      </c>
      <c r="K140" s="381">
        <f t="shared" si="86"/>
        <v>108233.66399999998</v>
      </c>
      <c r="L140" s="293">
        <f t="shared" si="86"/>
        <v>818008</v>
      </c>
      <c r="M140" s="381">
        <f>M82+M62+M7+M93+M32+M104+M115+M126+M137</f>
        <v>30001.134000000002</v>
      </c>
      <c r="N140" s="381">
        <f t="shared" si="86"/>
        <v>87509.70199999999</v>
      </c>
      <c r="O140" s="381">
        <f t="shared" si="86"/>
        <v>113214.61500000002</v>
      </c>
      <c r="P140" s="293">
        <f t="shared" ref="P140" si="87">P82+P62+P7+P93+P32+P104+P115+P126+P137</f>
        <v>0</v>
      </c>
      <c r="Q140" s="381">
        <f>Q82+Q62+Q7+Q93+Q32+Q104+Q115+Q126+Q137</f>
        <v>3442.2160000000003</v>
      </c>
      <c r="R140" s="381">
        <f t="shared" ref="R140:S140" si="88">R82+R62+R7+R93+R32+R104+R115+R126+R137</f>
        <v>67524.303000000014</v>
      </c>
      <c r="S140" s="381">
        <f t="shared" si="88"/>
        <v>81495.547999999995</v>
      </c>
      <c r="T140" s="293">
        <f>T82+T62+T7+T93+T32+T104+T115+T126+T137</f>
        <v>903185.2</v>
      </c>
      <c r="U140" s="293">
        <f t="shared" si="86"/>
        <v>258168.75499999998</v>
      </c>
      <c r="V140" s="293">
        <f t="shared" ref="V140:W140" si="89">V82+V62+V7+V93+V32+V104+V115+V126+V137</f>
        <v>230819.17299999998</v>
      </c>
      <c r="W140" s="293">
        <f t="shared" si="89"/>
        <v>302943.82699999999</v>
      </c>
      <c r="X140" s="381">
        <f t="shared" si="86"/>
        <v>312789.625</v>
      </c>
      <c r="Y140" s="381">
        <f t="shared" si="86"/>
        <v>348165.62799999997</v>
      </c>
      <c r="Z140" s="442"/>
    </row>
    <row r="141" spans="1:26">
      <c r="A141" s="316"/>
      <c r="B141" s="38" t="s">
        <v>25</v>
      </c>
      <c r="C141" s="344"/>
      <c r="D141" s="358"/>
      <c r="E141" s="321"/>
      <c r="F141" s="321"/>
      <c r="G141" s="392"/>
      <c r="H141" s="382"/>
      <c r="I141" s="382"/>
      <c r="J141" s="382"/>
      <c r="K141" s="382"/>
      <c r="L141" s="294"/>
      <c r="M141" s="382"/>
      <c r="N141" s="382"/>
      <c r="O141" s="382"/>
      <c r="P141" s="294"/>
      <c r="Q141" s="382"/>
      <c r="R141" s="382"/>
      <c r="S141" s="382"/>
      <c r="T141" s="294"/>
      <c r="U141" s="294"/>
      <c r="V141" s="294"/>
      <c r="W141" s="294"/>
      <c r="X141" s="382"/>
      <c r="Y141" s="382"/>
      <c r="Z141" s="442"/>
    </row>
    <row r="142" spans="1:26">
      <c r="A142" s="316"/>
      <c r="B142" s="22" t="s">
        <v>27</v>
      </c>
      <c r="C142" s="344"/>
      <c r="D142" s="358"/>
      <c r="E142" s="321"/>
      <c r="F142" s="321"/>
      <c r="G142" s="134">
        <f>SUM(G143)</f>
        <v>0</v>
      </c>
      <c r="H142" s="134">
        <f>SUM(H143)</f>
        <v>0</v>
      </c>
      <c r="I142" s="134">
        <f t="shared" ref="I142:W142" si="90">SUM(I143)</f>
        <v>0</v>
      </c>
      <c r="J142" s="134">
        <f t="shared" si="90"/>
        <v>0</v>
      </c>
      <c r="K142" s="134">
        <f t="shared" si="90"/>
        <v>0</v>
      </c>
      <c r="L142" s="134">
        <f t="shared" si="90"/>
        <v>0</v>
      </c>
      <c r="M142" s="134">
        <f t="shared" si="90"/>
        <v>0</v>
      </c>
      <c r="N142" s="134">
        <f t="shared" si="90"/>
        <v>0</v>
      </c>
      <c r="O142" s="134">
        <f t="shared" si="90"/>
        <v>0</v>
      </c>
      <c r="P142" s="240">
        <f t="shared" si="90"/>
        <v>0</v>
      </c>
      <c r="Q142" s="240">
        <f t="shared" si="90"/>
        <v>0</v>
      </c>
      <c r="R142" s="240">
        <f t="shared" si="90"/>
        <v>0</v>
      </c>
      <c r="S142" s="240">
        <f t="shared" si="90"/>
        <v>0</v>
      </c>
      <c r="T142" s="134">
        <f t="shared" si="90"/>
        <v>0</v>
      </c>
      <c r="U142" s="144">
        <f t="shared" si="90"/>
        <v>0</v>
      </c>
      <c r="V142" s="134">
        <f t="shared" si="90"/>
        <v>0</v>
      </c>
      <c r="W142" s="134">
        <f t="shared" si="90"/>
        <v>0</v>
      </c>
      <c r="X142" s="134">
        <f>SUM(X143)</f>
        <v>0</v>
      </c>
      <c r="Y142" s="134">
        <f>SUM(Y143)</f>
        <v>0</v>
      </c>
      <c r="Z142" s="442"/>
    </row>
    <row r="143" spans="1:26">
      <c r="A143" s="316"/>
      <c r="B143" s="42" t="s">
        <v>50</v>
      </c>
      <c r="C143" s="344"/>
      <c r="D143" s="358"/>
      <c r="E143" s="321"/>
      <c r="F143" s="321"/>
      <c r="G143" s="133">
        <f>H143+X143+Y143</f>
        <v>0</v>
      </c>
      <c r="H143" s="133">
        <f t="shared" ref="H143:Y143" si="91">H20+H53+H74+H85+H96</f>
        <v>0</v>
      </c>
      <c r="I143" s="133">
        <f t="shared" si="91"/>
        <v>0</v>
      </c>
      <c r="J143" s="133">
        <f t="shared" si="91"/>
        <v>0</v>
      </c>
      <c r="K143" s="133">
        <f t="shared" si="91"/>
        <v>0</v>
      </c>
      <c r="L143" s="133">
        <f t="shared" ref="L143:W143" si="92">L20+L53+L74+L85+L96</f>
        <v>0</v>
      </c>
      <c r="M143" s="133">
        <f t="shared" si="92"/>
        <v>0</v>
      </c>
      <c r="N143" s="133">
        <f t="shared" si="92"/>
        <v>0</v>
      </c>
      <c r="O143" s="133">
        <f t="shared" si="92"/>
        <v>0</v>
      </c>
      <c r="P143" s="239">
        <f t="shared" ref="P143:S143" si="93">P20+P53+P74+P85+P96</f>
        <v>0</v>
      </c>
      <c r="Q143" s="239">
        <f t="shared" si="93"/>
        <v>0</v>
      </c>
      <c r="R143" s="239">
        <f t="shared" si="93"/>
        <v>0</v>
      </c>
      <c r="S143" s="239">
        <f t="shared" si="93"/>
        <v>0</v>
      </c>
      <c r="T143" s="133">
        <f t="shared" si="92"/>
        <v>0</v>
      </c>
      <c r="U143" s="145">
        <f t="shared" ref="U143" si="94">U20+U53+U74+U85+U96</f>
        <v>0</v>
      </c>
      <c r="V143" s="133">
        <f t="shared" si="92"/>
        <v>0</v>
      </c>
      <c r="W143" s="133">
        <f t="shared" si="92"/>
        <v>0</v>
      </c>
      <c r="X143" s="133">
        <f t="shared" si="91"/>
        <v>0</v>
      </c>
      <c r="Y143" s="133">
        <f t="shared" si="91"/>
        <v>0</v>
      </c>
      <c r="Z143" s="442"/>
    </row>
    <row r="144" spans="1:26">
      <c r="A144" s="316"/>
      <c r="B144" s="22" t="s">
        <v>28</v>
      </c>
      <c r="C144" s="344"/>
      <c r="D144" s="358"/>
      <c r="E144" s="321"/>
      <c r="F144" s="321"/>
      <c r="G144" s="134">
        <f>SUM(G145:G147)</f>
        <v>288390.2</v>
      </c>
      <c r="H144" s="134">
        <f>SUM(H145:H147)</f>
        <v>288390.2</v>
      </c>
      <c r="I144" s="134">
        <f t="shared" ref="I144:K144" si="95">SUM(I145:I147)</f>
        <v>196824.19699999999</v>
      </c>
      <c r="J144" s="134">
        <f t="shared" si="95"/>
        <v>221231.60200000001</v>
      </c>
      <c r="K144" s="134">
        <f t="shared" si="95"/>
        <v>221231.60200000001</v>
      </c>
      <c r="L144" s="134">
        <f t="shared" ref="L144:O144" si="96">SUM(L145:L147)</f>
        <v>0</v>
      </c>
      <c r="M144" s="134">
        <f>SUM(M145:M147)</f>
        <v>41708.159000000007</v>
      </c>
      <c r="N144" s="134">
        <f t="shared" si="96"/>
        <v>17300.758999999998</v>
      </c>
      <c r="O144" s="134">
        <f t="shared" si="96"/>
        <v>17300.755000000001</v>
      </c>
      <c r="P144" s="240">
        <f t="shared" ref="P144" si="97">SUM(P145:P147)</f>
        <v>0</v>
      </c>
      <c r="Q144" s="240">
        <f>SUM(Q145:Q147)</f>
        <v>0</v>
      </c>
      <c r="R144" s="240">
        <f t="shared" ref="R144:S144" si="98">SUM(R145:R147)</f>
        <v>0</v>
      </c>
      <c r="S144" s="240">
        <f t="shared" si="98"/>
        <v>0</v>
      </c>
      <c r="T144" s="134">
        <f>SUM(T145:T147)</f>
        <v>288390.2</v>
      </c>
      <c r="U144" s="144">
        <f t="shared" ref="U144:W144" si="99">SUM(U145:U147)</f>
        <v>238532.356</v>
      </c>
      <c r="V144" s="268">
        <f t="shared" si="99"/>
        <v>238532.361</v>
      </c>
      <c r="W144" s="268">
        <f t="shared" si="99"/>
        <v>238532.35700000002</v>
      </c>
      <c r="X144" s="134">
        <f>SUM(X145:X147)</f>
        <v>0</v>
      </c>
      <c r="Y144" s="134">
        <f>SUM(Y145:Y147)</f>
        <v>221231.60200000001</v>
      </c>
      <c r="Z144" s="442"/>
    </row>
    <row r="145" spans="1:26">
      <c r="A145" s="316"/>
      <c r="B145" s="39" t="s">
        <v>29</v>
      </c>
      <c r="C145" s="459"/>
      <c r="D145" s="428"/>
      <c r="E145" s="394"/>
      <c r="F145" s="394"/>
      <c r="G145" s="133">
        <f>SUM(H145)</f>
        <v>238949</v>
      </c>
      <c r="H145" s="133">
        <f t="shared" ref="H145:Y145" si="100">H22+H87+H76+H98+H55</f>
        <v>238949</v>
      </c>
      <c r="I145" s="133">
        <f t="shared" si="100"/>
        <v>154093.06099999999</v>
      </c>
      <c r="J145" s="133">
        <f t="shared" si="100"/>
        <v>176078.77100000001</v>
      </c>
      <c r="K145" s="133">
        <f t="shared" si="100"/>
        <v>176078.77100000001</v>
      </c>
      <c r="L145" s="133">
        <f>L22+L87+L76+L98+L55</f>
        <v>0</v>
      </c>
      <c r="M145" s="133">
        <f t="shared" ref="M145:W145" si="101">M22+M87+M76+M98+M55</f>
        <v>35366.475000000006</v>
      </c>
      <c r="N145" s="133">
        <f t="shared" si="101"/>
        <v>13380.769</v>
      </c>
      <c r="O145" s="133">
        <f t="shared" si="101"/>
        <v>13380.769</v>
      </c>
      <c r="P145" s="239">
        <f>P22+P87+P76+P98+P55</f>
        <v>0</v>
      </c>
      <c r="Q145" s="239">
        <f t="shared" ref="Q145:S145" si="102">Q22+Q87+Q76+Q98+Q55</f>
        <v>0</v>
      </c>
      <c r="R145" s="239">
        <f t="shared" si="102"/>
        <v>0</v>
      </c>
      <c r="S145" s="239">
        <f t="shared" si="102"/>
        <v>0</v>
      </c>
      <c r="T145" s="133">
        <f t="shared" si="101"/>
        <v>238949</v>
      </c>
      <c r="U145" s="145">
        <f t="shared" ref="U145" si="103">U22+U87+U76+U98+U55</f>
        <v>189459.53599999999</v>
      </c>
      <c r="V145" s="133">
        <f t="shared" si="101"/>
        <v>189459.54</v>
      </c>
      <c r="W145" s="133">
        <f t="shared" si="101"/>
        <v>189459.54</v>
      </c>
      <c r="X145" s="133">
        <f t="shared" si="100"/>
        <v>0</v>
      </c>
      <c r="Y145" s="133">
        <f t="shared" si="100"/>
        <v>176078.77100000001</v>
      </c>
      <c r="Z145" s="442"/>
    </row>
    <row r="146" spans="1:26">
      <c r="A146" s="316"/>
      <c r="B146" s="39" t="s">
        <v>30</v>
      </c>
      <c r="C146" s="459"/>
      <c r="D146" s="428"/>
      <c r="E146" s="394"/>
      <c r="F146" s="394"/>
      <c r="G146" s="133">
        <f t="shared" ref="G146:G147" si="104">SUM(H146)</f>
        <v>9896.9</v>
      </c>
      <c r="H146" s="133">
        <f t="shared" ref="H146:Y146" si="105">H24+H88+H77+H99+H56</f>
        <v>9896.9</v>
      </c>
      <c r="I146" s="133">
        <f t="shared" si="105"/>
        <v>9896.905999999999</v>
      </c>
      <c r="J146" s="133">
        <f t="shared" si="105"/>
        <v>9896.91</v>
      </c>
      <c r="K146" s="133">
        <f t="shared" si="105"/>
        <v>9896.91</v>
      </c>
      <c r="L146" s="133">
        <f>L24+L88+L77+L99+L56</f>
        <v>0</v>
      </c>
      <c r="M146" s="133">
        <f t="shared" ref="M146:W146" si="106">M24+M88+M77+M99+M56</f>
        <v>4.0000000000000001E-3</v>
      </c>
      <c r="N146" s="133">
        <f t="shared" si="106"/>
        <v>0</v>
      </c>
      <c r="O146" s="133">
        <f t="shared" si="106"/>
        <v>0</v>
      </c>
      <c r="P146" s="239">
        <f>P24+P88+P77+P99+P56</f>
        <v>0</v>
      </c>
      <c r="Q146" s="239">
        <f t="shared" ref="Q146:S146" si="107">Q24+Q88+Q77+Q99+Q56</f>
        <v>0</v>
      </c>
      <c r="R146" s="239">
        <f t="shared" si="107"/>
        <v>0</v>
      </c>
      <c r="S146" s="239">
        <f t="shared" si="107"/>
        <v>0</v>
      </c>
      <c r="T146" s="133">
        <f t="shared" si="106"/>
        <v>9896.9</v>
      </c>
      <c r="U146" s="145">
        <f t="shared" ref="U146" si="108">U24+U88+U77+U99+U56</f>
        <v>9896.91</v>
      </c>
      <c r="V146" s="133">
        <f t="shared" si="106"/>
        <v>9896.91</v>
      </c>
      <c r="W146" s="133">
        <f t="shared" si="106"/>
        <v>9896.91</v>
      </c>
      <c r="X146" s="133">
        <f t="shared" si="105"/>
        <v>0</v>
      </c>
      <c r="Y146" s="133">
        <f t="shared" si="105"/>
        <v>9896.91</v>
      </c>
      <c r="Z146" s="442"/>
    </row>
    <row r="147" spans="1:26">
      <c r="A147" s="316"/>
      <c r="B147" s="39" t="s">
        <v>31</v>
      </c>
      <c r="C147" s="459"/>
      <c r="D147" s="428"/>
      <c r="E147" s="394"/>
      <c r="F147" s="394"/>
      <c r="G147" s="133">
        <f t="shared" si="104"/>
        <v>39544.299999999996</v>
      </c>
      <c r="H147" s="133">
        <f t="shared" ref="H147:Y147" si="109">H26+H89+H78+H100+H57</f>
        <v>39544.299999999996</v>
      </c>
      <c r="I147" s="133">
        <f t="shared" si="109"/>
        <v>32834.229999999996</v>
      </c>
      <c r="J147" s="133">
        <f t="shared" si="109"/>
        <v>35255.921000000002</v>
      </c>
      <c r="K147" s="133">
        <f t="shared" si="109"/>
        <v>35255.921000000002</v>
      </c>
      <c r="L147" s="133">
        <f t="shared" ref="L147:W147" si="110">L26+L89+L78+L100+L57</f>
        <v>0</v>
      </c>
      <c r="M147" s="133">
        <f t="shared" si="110"/>
        <v>6341.68</v>
      </c>
      <c r="N147" s="133">
        <f t="shared" si="110"/>
        <v>3919.99</v>
      </c>
      <c r="O147" s="133">
        <f t="shared" si="110"/>
        <v>3919.9859999999999</v>
      </c>
      <c r="P147" s="239">
        <f t="shared" ref="P147:S147" si="111">P26+P89+P78+P100+P57</f>
        <v>0</v>
      </c>
      <c r="Q147" s="239">
        <f t="shared" si="111"/>
        <v>0</v>
      </c>
      <c r="R147" s="239">
        <f t="shared" si="111"/>
        <v>0</v>
      </c>
      <c r="S147" s="239">
        <f t="shared" si="111"/>
        <v>0</v>
      </c>
      <c r="T147" s="133">
        <f t="shared" si="110"/>
        <v>39544.299999999996</v>
      </c>
      <c r="U147" s="145">
        <f t="shared" ref="U147" si="112">U26+U89+U78+U100+U57</f>
        <v>39175.909999999996</v>
      </c>
      <c r="V147" s="133">
        <f t="shared" si="110"/>
        <v>39175.911</v>
      </c>
      <c r="W147" s="133">
        <f t="shared" si="110"/>
        <v>39175.906999999999</v>
      </c>
      <c r="X147" s="133">
        <f t="shared" si="109"/>
        <v>0</v>
      </c>
      <c r="Y147" s="133">
        <f t="shared" si="109"/>
        <v>35255.921000000002</v>
      </c>
      <c r="Z147" s="442"/>
    </row>
    <row r="148" spans="1:26">
      <c r="A148" s="316"/>
      <c r="B148" s="22" t="s">
        <v>35</v>
      </c>
      <c r="C148" s="459"/>
      <c r="D148" s="428"/>
      <c r="E148" s="394"/>
      <c r="F148" s="394"/>
      <c r="G148" s="134">
        <f t="shared" ref="G148" si="113">SUM(H148:Y148)</f>
        <v>0</v>
      </c>
      <c r="H148" s="133">
        <f>H29+H90+H79+H101+H58</f>
        <v>0</v>
      </c>
      <c r="I148" s="133">
        <f>I29+I90+I79+I101+I58</f>
        <v>0</v>
      </c>
      <c r="J148" s="133">
        <f>J29+J90+J79+J101+J58</f>
        <v>0</v>
      </c>
      <c r="K148" s="133">
        <f>K29+K90+K79+K101+K58</f>
        <v>0</v>
      </c>
      <c r="L148" s="133">
        <f t="shared" ref="L148:W148" si="114">L29+L90+L79+L101+L58</f>
        <v>0</v>
      </c>
      <c r="M148" s="133">
        <f t="shared" si="114"/>
        <v>0</v>
      </c>
      <c r="N148" s="133">
        <f t="shared" si="114"/>
        <v>0</v>
      </c>
      <c r="O148" s="133">
        <f t="shared" si="114"/>
        <v>0</v>
      </c>
      <c r="P148" s="239">
        <f t="shared" ref="P148:S148" si="115">P29+P90+P79+P101+P58</f>
        <v>0</v>
      </c>
      <c r="Q148" s="239">
        <f t="shared" si="115"/>
        <v>0</v>
      </c>
      <c r="R148" s="239">
        <f t="shared" si="115"/>
        <v>0</v>
      </c>
      <c r="S148" s="239">
        <f t="shared" si="115"/>
        <v>0</v>
      </c>
      <c r="T148" s="133">
        <f t="shared" si="114"/>
        <v>0</v>
      </c>
      <c r="U148" s="145">
        <f t="shared" ref="U148" si="116">U29+U90+U79+U101+U58</f>
        <v>0</v>
      </c>
      <c r="V148" s="133">
        <f t="shared" si="114"/>
        <v>0</v>
      </c>
      <c r="W148" s="133">
        <f t="shared" si="114"/>
        <v>0</v>
      </c>
      <c r="X148" s="133">
        <f>X29+X90+X79+X101+X58</f>
        <v>0</v>
      </c>
      <c r="Y148" s="134"/>
      <c r="Z148" s="442"/>
    </row>
    <row r="149" spans="1:26" ht="13.5">
      <c r="A149" s="316"/>
      <c r="B149" s="22" t="s">
        <v>36</v>
      </c>
      <c r="C149" s="459"/>
      <c r="D149" s="428"/>
      <c r="E149" s="394"/>
      <c r="F149" s="394"/>
      <c r="G149" s="134">
        <v>75000</v>
      </c>
      <c r="H149" s="160"/>
      <c r="I149" s="160"/>
      <c r="J149" s="160"/>
      <c r="K149" s="160"/>
      <c r="L149" s="186">
        <v>75000</v>
      </c>
      <c r="M149" s="160"/>
      <c r="N149" s="160"/>
      <c r="O149" s="160"/>
      <c r="P149" s="186"/>
      <c r="Q149" s="160"/>
      <c r="R149" s="160"/>
      <c r="S149" s="160"/>
      <c r="T149" s="160">
        <v>75000</v>
      </c>
      <c r="U149" s="160"/>
      <c r="V149" s="160"/>
      <c r="W149" s="160"/>
      <c r="X149" s="59">
        <v>75000</v>
      </c>
      <c r="Y149" s="134"/>
      <c r="Z149" s="442"/>
    </row>
    <row r="150" spans="1:26" ht="13.5">
      <c r="A150" s="317"/>
      <c r="B150" s="21" t="s">
        <v>114</v>
      </c>
      <c r="C150" s="460"/>
      <c r="D150" s="429"/>
      <c r="E150" s="395"/>
      <c r="F150" s="395"/>
      <c r="G150" s="134">
        <v>386100</v>
      </c>
      <c r="H150" s="127">
        <f>H30+H91+H80+H102+H60</f>
        <v>289575</v>
      </c>
      <c r="I150" s="127">
        <f>I30+I91+I80+I102+I60</f>
        <v>0</v>
      </c>
      <c r="J150" s="127">
        <f>J30+J91+J80+J102+J60</f>
        <v>0</v>
      </c>
      <c r="K150" s="127">
        <f>K30+K91+K80+K102+K60</f>
        <v>0</v>
      </c>
      <c r="L150" s="127">
        <f t="shared" ref="L150:W150" si="117">L30+L91+L80+L102+L60</f>
        <v>96525</v>
      </c>
      <c r="M150" s="127">
        <f>M30+M91+M80+M102+M60</f>
        <v>26582.837</v>
      </c>
      <c r="N150" s="228">
        <f t="shared" si="117"/>
        <v>395655.16899999999</v>
      </c>
      <c r="O150" s="127">
        <f t="shared" si="117"/>
        <v>16721.403999999999</v>
      </c>
      <c r="P150" s="234">
        <f t="shared" ref="P150" si="118">P30+P91+P80+P102+P60</f>
        <v>0</v>
      </c>
      <c r="Q150" s="234">
        <f>Q30+Q91+Q80+Q102+Q60</f>
        <v>0</v>
      </c>
      <c r="R150" s="260">
        <f t="shared" ref="R150:S150" si="119">R30+R91+R80+R102+R60</f>
        <v>0</v>
      </c>
      <c r="S150" s="234">
        <f t="shared" si="119"/>
        <v>0</v>
      </c>
      <c r="T150" s="127">
        <f t="shared" si="117"/>
        <v>386100</v>
      </c>
      <c r="U150" s="142">
        <f t="shared" ref="U150" si="120">U30+U91+U80+U102+U60</f>
        <v>26582.837</v>
      </c>
      <c r="V150" s="127">
        <f t="shared" si="117"/>
        <v>395655.16899999999</v>
      </c>
      <c r="W150" s="127">
        <f t="shared" si="117"/>
        <v>16721.403999999999</v>
      </c>
      <c r="X150" s="127">
        <f>X30+X91+X80+X102+X60</f>
        <v>96525</v>
      </c>
      <c r="Y150" s="134"/>
      <c r="Z150" s="443"/>
    </row>
    <row r="151" spans="1:26">
      <c r="B151" s="170"/>
      <c r="C151" s="171"/>
      <c r="D151" s="171"/>
      <c r="E151" s="171"/>
      <c r="F151" s="171"/>
      <c r="G151" s="172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2"/>
      <c r="Y151" s="174"/>
    </row>
    <row r="152" spans="1:26" ht="12.75" customHeight="1">
      <c r="A152" s="307" t="s">
        <v>15</v>
      </c>
      <c r="B152" s="307" t="s">
        <v>11</v>
      </c>
      <c r="C152" s="307" t="s">
        <v>32</v>
      </c>
      <c r="D152" s="307" t="s">
        <v>33</v>
      </c>
      <c r="E152" s="307" t="s">
        <v>34</v>
      </c>
      <c r="F152" s="307" t="s">
        <v>42</v>
      </c>
      <c r="G152" s="430" t="s">
        <v>38</v>
      </c>
      <c r="H152" s="444" t="s">
        <v>18</v>
      </c>
      <c r="I152" s="445"/>
      <c r="J152" s="445"/>
      <c r="K152" s="445"/>
      <c r="L152" s="445"/>
      <c r="M152" s="445"/>
      <c r="N152" s="445"/>
      <c r="O152" s="445"/>
      <c r="P152" s="445"/>
      <c r="Q152" s="445"/>
      <c r="R152" s="445"/>
      <c r="S152" s="445"/>
      <c r="T152" s="445"/>
      <c r="U152" s="445"/>
      <c r="V152" s="445"/>
      <c r="W152" s="445"/>
      <c r="X152" s="445"/>
      <c r="Y152" s="445"/>
      <c r="Z152" s="307" t="s">
        <v>22</v>
      </c>
    </row>
    <row r="153" spans="1:26">
      <c r="A153" s="314"/>
      <c r="B153" s="314"/>
      <c r="C153" s="314"/>
      <c r="D153" s="314"/>
      <c r="E153" s="392"/>
      <c r="F153" s="392"/>
      <c r="G153" s="405"/>
      <c r="H153" s="9">
        <v>2011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>
        <v>2012</v>
      </c>
      <c r="Y153" s="9">
        <v>2013</v>
      </c>
      <c r="Z153" s="314"/>
    </row>
    <row r="154" spans="1:26">
      <c r="A154" s="10">
        <v>1</v>
      </c>
      <c r="B154" s="17">
        <v>2</v>
      </c>
      <c r="C154" s="17">
        <v>3</v>
      </c>
      <c r="D154" s="17">
        <v>4</v>
      </c>
      <c r="E154" s="41"/>
      <c r="F154" s="41"/>
      <c r="G154" s="29">
        <v>5</v>
      </c>
      <c r="H154" s="29">
        <v>6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>
        <v>7</v>
      </c>
      <c r="Y154" s="29">
        <v>8</v>
      </c>
      <c r="Z154" s="11">
        <v>13</v>
      </c>
    </row>
    <row r="155" spans="1:26" ht="14.25">
      <c r="A155" s="10">
        <v>2.2000000000000002</v>
      </c>
      <c r="B155" s="74" t="s">
        <v>69</v>
      </c>
      <c r="C155" s="17"/>
      <c r="D155" s="17"/>
      <c r="E155" s="41"/>
      <c r="F155" s="41"/>
      <c r="G155" s="29"/>
      <c r="H155" s="43"/>
      <c r="I155" s="44"/>
      <c r="J155" s="44"/>
      <c r="K155" s="77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37"/>
    </row>
    <row r="156" spans="1:26" ht="26.25" customHeight="1">
      <c r="A156" s="364" t="s">
        <v>70</v>
      </c>
      <c r="B156" s="63" t="s">
        <v>23</v>
      </c>
      <c r="C156" s="431" t="s">
        <v>41</v>
      </c>
      <c r="D156" s="327" t="s">
        <v>48</v>
      </c>
      <c r="E156" s="300">
        <v>150</v>
      </c>
      <c r="F156" s="300" t="s">
        <v>16</v>
      </c>
      <c r="G156" s="24">
        <f t="shared" ref="G156:S156" si="121">G157+G169+G171+G184+G188</f>
        <v>2271762.878</v>
      </c>
      <c r="H156" s="24">
        <f t="shared" si="121"/>
        <v>1520244.9</v>
      </c>
      <c r="I156" s="24">
        <f t="shared" si="121"/>
        <v>470262.96899999987</v>
      </c>
      <c r="J156" s="24">
        <f t="shared" si="121"/>
        <v>445096.85399999999</v>
      </c>
      <c r="K156" s="24">
        <f t="shared" si="121"/>
        <v>445096.85399999999</v>
      </c>
      <c r="L156" s="24">
        <f t="shared" si="121"/>
        <v>20000</v>
      </c>
      <c r="M156" s="24">
        <f t="shared" si="121"/>
        <v>187893.33799999999</v>
      </c>
      <c r="N156" s="24">
        <f t="shared" si="121"/>
        <v>149762.43499999997</v>
      </c>
      <c r="O156" s="24">
        <f t="shared" si="121"/>
        <v>149762.43599999999</v>
      </c>
      <c r="P156" s="24">
        <f t="shared" si="121"/>
        <v>0</v>
      </c>
      <c r="Q156" s="24">
        <f t="shared" si="121"/>
        <v>24491.044000000002</v>
      </c>
      <c r="R156" s="24">
        <f t="shared" si="121"/>
        <v>432.05500000000001</v>
      </c>
      <c r="S156" s="24">
        <f t="shared" si="121"/>
        <v>432.05500000000001</v>
      </c>
      <c r="T156" s="24">
        <f>H156+L156</f>
        <v>1540244.9</v>
      </c>
      <c r="U156" s="24">
        <f>I156+M156+Q156</f>
        <v>682647.35099999979</v>
      </c>
      <c r="V156" s="24">
        <f t="shared" ref="V156:W157" si="122">J156+N156+R156</f>
        <v>595291.34400000004</v>
      </c>
      <c r="W156" s="24">
        <f t="shared" si="122"/>
        <v>595291.34500000009</v>
      </c>
      <c r="X156" s="24">
        <f>X157+X169+X171+X184+X188</f>
        <v>78540.487000000023</v>
      </c>
      <c r="Y156" s="24">
        <f>Y157+Y169+Y171+Y184+Y188</f>
        <v>445096.85399999999</v>
      </c>
      <c r="Z156" s="452" t="s">
        <v>104</v>
      </c>
    </row>
    <row r="157" spans="1:26" ht="15" customHeight="1">
      <c r="A157" s="316"/>
      <c r="B157" s="21" t="s">
        <v>123</v>
      </c>
      <c r="C157" s="379"/>
      <c r="D157" s="328"/>
      <c r="E157" s="393"/>
      <c r="F157" s="393"/>
      <c r="G157" s="285">
        <v>24271.200000000001</v>
      </c>
      <c r="H157" s="285">
        <v>4271.2</v>
      </c>
      <c r="I157" s="285">
        <f>SUM(I159:I167)</f>
        <v>5607.746000000001</v>
      </c>
      <c r="J157" s="285">
        <f>SUM(J159:J167)</f>
        <v>5587.2460000000001</v>
      </c>
      <c r="K157" s="285">
        <f>SUM(K159:K167)</f>
        <v>5587.2460000000001</v>
      </c>
      <c r="L157" s="285">
        <v>20000</v>
      </c>
      <c r="M157" s="383">
        <f>SUM(M159:M167)</f>
        <v>3002.8369999999995</v>
      </c>
      <c r="N157" s="383">
        <f>SUM(N159:N167)</f>
        <v>3089.2919999999995</v>
      </c>
      <c r="O157" s="383">
        <f>SUM(O159:O167)</f>
        <v>3089.2929999999997</v>
      </c>
      <c r="P157" s="285">
        <v>0</v>
      </c>
      <c r="Q157" s="383">
        <f>SUM(Q159:Q168)</f>
        <v>432.05500000000001</v>
      </c>
      <c r="R157" s="383">
        <f>SUM(R159:R168)</f>
        <v>432.05500000000001</v>
      </c>
      <c r="S157" s="383">
        <f>SUM(S159:S168)</f>
        <v>432.05500000000001</v>
      </c>
      <c r="T157" s="285">
        <f t="shared" ref="T157:U158" si="123">H157+L157</f>
        <v>24271.200000000001</v>
      </c>
      <c r="U157" s="285">
        <f>I157+M157+Q157</f>
        <v>9042.6380000000008</v>
      </c>
      <c r="V157" s="285">
        <f t="shared" si="122"/>
        <v>9108.5930000000008</v>
      </c>
      <c r="W157" s="285">
        <f t="shared" si="122"/>
        <v>9108.594000000001</v>
      </c>
      <c r="X157" s="285">
        <f>SUM(X159:X167)</f>
        <v>822.77800000000002</v>
      </c>
      <c r="Y157" s="285">
        <f>SUM(Y159:Y167)</f>
        <v>5587.2460000000001</v>
      </c>
      <c r="Z157" s="453"/>
    </row>
    <row r="158" spans="1:26">
      <c r="A158" s="316"/>
      <c r="B158" s="38" t="s">
        <v>25</v>
      </c>
      <c r="C158" s="379"/>
      <c r="D158" s="328"/>
      <c r="E158" s="393"/>
      <c r="F158" s="393"/>
      <c r="G158" s="392"/>
      <c r="H158" s="287"/>
      <c r="I158" s="287"/>
      <c r="J158" s="287"/>
      <c r="K158" s="287"/>
      <c r="L158" s="287"/>
      <c r="M158" s="384"/>
      <c r="N158" s="384"/>
      <c r="O158" s="384"/>
      <c r="P158" s="287"/>
      <c r="Q158" s="384"/>
      <c r="R158" s="384"/>
      <c r="S158" s="384"/>
      <c r="T158" s="287">
        <f t="shared" si="123"/>
        <v>0</v>
      </c>
      <c r="U158" s="287">
        <f t="shared" si="123"/>
        <v>0</v>
      </c>
      <c r="V158" s="287">
        <f t="shared" ref="V158" si="124">J158+N158</f>
        <v>0</v>
      </c>
      <c r="W158" s="287">
        <f t="shared" ref="W158" si="125">K158+O158</f>
        <v>0</v>
      </c>
      <c r="X158" s="287"/>
      <c r="Y158" s="287"/>
      <c r="Z158" s="453"/>
    </row>
    <row r="159" spans="1:26" ht="12.75" hidden="1" customHeight="1">
      <c r="A159" s="316"/>
      <c r="B159" s="69" t="s">
        <v>150</v>
      </c>
      <c r="C159" s="379"/>
      <c r="D159" s="328"/>
      <c r="E159" s="393"/>
      <c r="F159" s="393"/>
      <c r="G159" s="99"/>
      <c r="H159" s="130"/>
      <c r="I159" s="100">
        <f>297.33+117.605+84.383+151.68+171.78+175.947+175.947+203.598+259.684+320.645-175.947+435.675+658.978+211.623+711.938</f>
        <v>3800.8660000000004</v>
      </c>
      <c r="J159" s="121">
        <f>414.935+84.383+151.68+171.78+959.874+2018.214</f>
        <v>3800.866</v>
      </c>
      <c r="K159" s="85">
        <f>414.935+84.383+151.68+171.78+203.598+435.631+320.645+2018.214</f>
        <v>3800.866</v>
      </c>
      <c r="L159" s="85"/>
      <c r="M159" s="85">
        <f>102.738+15.108+157.275+146.52+219.7+166.175+179.697+49.05+16.633+46.291+23.409+42.85+39.368+85.866+305.57</f>
        <v>1596.2499999999998</v>
      </c>
      <c r="N159" s="85">
        <f>275.122+146.52+166.175+179.697+219.7+16.633+49.05+23.409+46.292+42.85+39.368+305.57+85.866</f>
        <v>1596.2519999999997</v>
      </c>
      <c r="O159" s="85">
        <f>275.122+146.52+166.175+179.697+219.7+16.633+49.051+23.409+46.292+42.85+39.368+305.57+85.866</f>
        <v>1596.2529999999997</v>
      </c>
      <c r="P159" s="85"/>
      <c r="Q159" s="113"/>
      <c r="R159" s="95"/>
      <c r="S159" s="95"/>
      <c r="T159" s="85"/>
      <c r="U159" s="112">
        <f>I159+M159+Q159</f>
        <v>5397.116</v>
      </c>
      <c r="V159" s="85"/>
      <c r="W159" s="85"/>
      <c r="X159" s="95">
        <f>414.935+84.383+151.68+171.78</f>
        <v>822.77800000000002</v>
      </c>
      <c r="Y159" s="95">
        <f>414.935+84.383+151.68+171.78+203.598+435.631+320.645+2018.214</f>
        <v>3800.866</v>
      </c>
      <c r="Z159" s="453"/>
    </row>
    <row r="160" spans="1:26" ht="12.75" hidden="1" customHeight="1">
      <c r="A160" s="316"/>
      <c r="B160" s="81" t="s">
        <v>158</v>
      </c>
      <c r="C160" s="379"/>
      <c r="D160" s="328"/>
      <c r="E160" s="393"/>
      <c r="F160" s="393"/>
      <c r="G160" s="99"/>
      <c r="H160" s="130"/>
      <c r="I160" s="100">
        <v>30</v>
      </c>
      <c r="J160" s="101">
        <v>30</v>
      </c>
      <c r="K160" s="85">
        <v>30</v>
      </c>
      <c r="L160" s="149"/>
      <c r="M160" s="149"/>
      <c r="N160" s="149"/>
      <c r="O160" s="85"/>
      <c r="P160" s="149"/>
      <c r="Q160" s="113"/>
      <c r="R160" s="149"/>
      <c r="S160" s="85"/>
      <c r="T160" s="149"/>
      <c r="U160" s="112">
        <f t="shared" ref="U160:U167" si="126">I160+M160+Q160</f>
        <v>30</v>
      </c>
      <c r="V160" s="149"/>
      <c r="W160" s="149"/>
      <c r="X160" s="102"/>
      <c r="Y160" s="85">
        <v>30</v>
      </c>
      <c r="Z160" s="453"/>
    </row>
    <row r="161" spans="1:26" ht="12.75" hidden="1" customHeight="1">
      <c r="A161" s="316"/>
      <c r="B161" s="69" t="s">
        <v>214</v>
      </c>
      <c r="C161" s="379"/>
      <c r="D161" s="328"/>
      <c r="E161" s="393"/>
      <c r="F161" s="393"/>
      <c r="G161" s="216"/>
      <c r="H161" s="215"/>
      <c r="I161" s="100"/>
      <c r="J161" s="101"/>
      <c r="K161" s="85"/>
      <c r="L161" s="149"/>
      <c r="M161" s="149">
        <f>12.184+29.867</f>
        <v>42.051000000000002</v>
      </c>
      <c r="N161" s="149">
        <f>12.184+29.867</f>
        <v>42.051000000000002</v>
      </c>
      <c r="O161" s="149">
        <f>12.184+29.867</f>
        <v>42.051000000000002</v>
      </c>
      <c r="P161" s="149"/>
      <c r="Q161" s="252">
        <f>74.082+44.834+107.304+9.835</f>
        <v>236.05500000000001</v>
      </c>
      <c r="R161" s="95">
        <f>74.082+44.834+107.304+9.835</f>
        <v>236.05500000000001</v>
      </c>
      <c r="S161" s="95">
        <f>74.082+44.834+107.304+9.835</f>
        <v>236.05500000000001</v>
      </c>
      <c r="T161" s="149"/>
      <c r="U161" s="112">
        <f t="shared" si="126"/>
        <v>278.10599999999999</v>
      </c>
      <c r="V161" s="149"/>
      <c r="W161" s="149"/>
      <c r="X161" s="102"/>
      <c r="Y161" s="85"/>
      <c r="Z161" s="453"/>
    </row>
    <row r="162" spans="1:26" ht="12.75" hidden="1" customHeight="1">
      <c r="A162" s="316"/>
      <c r="B162" s="69" t="s">
        <v>154</v>
      </c>
      <c r="C162" s="379"/>
      <c r="D162" s="328"/>
      <c r="E162" s="393"/>
      <c r="F162" s="393"/>
      <c r="G162" s="99"/>
      <c r="H162" s="130"/>
      <c r="I162" s="100">
        <f>330+200+540+160.38+330</f>
        <v>1560.38</v>
      </c>
      <c r="J162" s="101">
        <v>1560.38</v>
      </c>
      <c r="K162" s="85">
        <v>1560.38</v>
      </c>
      <c r="L162" s="149"/>
      <c r="M162" s="149">
        <f>694.906+50+50+50+50</f>
        <v>894.90599999999995</v>
      </c>
      <c r="N162" s="222">
        <f>48.159+500+50+50+50</f>
        <v>698.15899999999999</v>
      </c>
      <c r="O162" s="199">
        <f>48.159+500+50+50+50</f>
        <v>698.15899999999999</v>
      </c>
      <c r="P162" s="149"/>
      <c r="Q162" s="113"/>
      <c r="R162" s="199"/>
      <c r="S162" s="199"/>
      <c r="T162" s="149"/>
      <c r="U162" s="112">
        <f t="shared" si="126"/>
        <v>2455.2860000000001</v>
      </c>
      <c r="V162" s="149"/>
      <c r="W162" s="149"/>
      <c r="X162" s="102"/>
      <c r="Y162" s="85">
        <v>1560.38</v>
      </c>
      <c r="Z162" s="453"/>
    </row>
    <row r="163" spans="1:26" ht="12.75" hidden="1" customHeight="1">
      <c r="A163" s="316"/>
      <c r="B163" s="69" t="s">
        <v>159</v>
      </c>
      <c r="C163" s="379"/>
      <c r="D163" s="328"/>
      <c r="E163" s="393"/>
      <c r="F163" s="393"/>
      <c r="G163" s="99"/>
      <c r="H163" s="130"/>
      <c r="I163" s="100">
        <f>45+171.5</f>
        <v>216.5</v>
      </c>
      <c r="J163" s="101">
        <v>196</v>
      </c>
      <c r="K163" s="85">
        <v>196</v>
      </c>
      <c r="L163" s="149"/>
      <c r="M163" s="149">
        <f>24.5+196+24.5+24.5+147+24.5+24.5</f>
        <v>465.5</v>
      </c>
      <c r="N163" s="149">
        <f>196+24.5+24.5+171.5+24.5+24.5</f>
        <v>465.5</v>
      </c>
      <c r="O163" s="199">
        <f>196+24.5+24.5+171.5+24.5+24.5</f>
        <v>465.5</v>
      </c>
      <c r="P163" s="149"/>
      <c r="Q163" s="252">
        <f>24.5+24.5+147</f>
        <v>196</v>
      </c>
      <c r="R163" s="222">
        <f>24.5+24.5+147</f>
        <v>196</v>
      </c>
      <c r="S163" s="79">
        <f>24.5+24.5+147</f>
        <v>196</v>
      </c>
      <c r="T163" s="149"/>
      <c r="U163" s="112">
        <f t="shared" si="126"/>
        <v>878</v>
      </c>
      <c r="V163" s="149"/>
      <c r="W163" s="149"/>
      <c r="X163" s="102"/>
      <c r="Y163" s="85">
        <v>196</v>
      </c>
      <c r="Z163" s="453"/>
    </row>
    <row r="164" spans="1:26" ht="12.75" hidden="1" customHeight="1">
      <c r="A164" s="316"/>
      <c r="B164" s="69" t="s">
        <v>229</v>
      </c>
      <c r="C164" s="379"/>
      <c r="D164" s="328"/>
      <c r="E164" s="393"/>
      <c r="F164" s="393"/>
      <c r="G164" s="270"/>
      <c r="H164" s="269"/>
      <c r="I164" s="100"/>
      <c r="J164" s="101"/>
      <c r="K164" s="199"/>
      <c r="L164" s="149"/>
      <c r="M164" s="149"/>
      <c r="N164" s="149"/>
      <c r="O164" s="199"/>
      <c r="P164" s="149"/>
      <c r="Q164" s="252"/>
      <c r="R164" s="149"/>
      <c r="S164" s="79"/>
      <c r="T164" s="149"/>
      <c r="U164" s="112"/>
      <c r="V164" s="149"/>
      <c r="W164" s="149"/>
      <c r="X164" s="102"/>
      <c r="Y164" s="199"/>
      <c r="Z164" s="453"/>
    </row>
    <row r="165" spans="1:26" ht="12.75" hidden="1" customHeight="1">
      <c r="A165" s="316"/>
      <c r="B165" s="109" t="s">
        <v>205</v>
      </c>
      <c r="C165" s="379"/>
      <c r="D165" s="328"/>
      <c r="E165" s="393"/>
      <c r="F165" s="393"/>
      <c r="G165" s="216"/>
      <c r="H165" s="215"/>
      <c r="I165" s="100"/>
      <c r="J165" s="101"/>
      <c r="K165" s="199"/>
      <c r="L165" s="149"/>
      <c r="M165" s="149">
        <v>4.13</v>
      </c>
      <c r="N165" s="149">
        <v>4.13</v>
      </c>
      <c r="O165" s="199">
        <v>4.13</v>
      </c>
      <c r="P165" s="149"/>
      <c r="Q165" s="113"/>
      <c r="R165" s="149"/>
      <c r="S165" s="199"/>
      <c r="T165" s="149"/>
      <c r="U165" s="112">
        <f t="shared" si="126"/>
        <v>4.13</v>
      </c>
      <c r="V165" s="149"/>
      <c r="W165" s="149"/>
      <c r="X165" s="102"/>
      <c r="Y165" s="199"/>
      <c r="Z165" s="453"/>
    </row>
    <row r="166" spans="1:26" ht="12.75" hidden="1" customHeight="1">
      <c r="A166" s="316"/>
      <c r="B166" s="69" t="s">
        <v>223</v>
      </c>
      <c r="C166" s="379"/>
      <c r="D166" s="328"/>
      <c r="E166" s="393"/>
      <c r="F166" s="393"/>
      <c r="G166" s="246"/>
      <c r="H166" s="245"/>
      <c r="I166" s="100"/>
      <c r="J166" s="101"/>
      <c r="K166" s="199"/>
      <c r="L166" s="149"/>
      <c r="M166" s="149"/>
      <c r="N166" s="149"/>
      <c r="O166" s="199"/>
      <c r="P166" s="149"/>
      <c r="Q166" s="113"/>
      <c r="R166" s="79"/>
      <c r="S166" s="79"/>
      <c r="T166" s="149"/>
      <c r="U166" s="112"/>
      <c r="V166" s="149"/>
      <c r="W166" s="149"/>
      <c r="X166" s="102"/>
      <c r="Y166" s="199"/>
      <c r="Z166" s="453"/>
    </row>
    <row r="167" spans="1:26" ht="12.75" hidden="1" customHeight="1">
      <c r="A167" s="316"/>
      <c r="B167" s="109" t="s">
        <v>199</v>
      </c>
      <c r="C167" s="379"/>
      <c r="D167" s="328"/>
      <c r="E167" s="393"/>
      <c r="F167" s="393"/>
      <c r="G167" s="99"/>
      <c r="H167" s="130"/>
      <c r="I167" s="130"/>
      <c r="J167" s="130"/>
      <c r="K167" s="130"/>
      <c r="L167" s="130"/>
      <c r="M167" s="130"/>
      <c r="N167" s="111">
        <v>283.2</v>
      </c>
      <c r="O167" s="111">
        <v>283.2</v>
      </c>
      <c r="P167" s="233"/>
      <c r="Q167" s="113"/>
      <c r="R167" s="78"/>
      <c r="S167" s="78"/>
      <c r="T167" s="130"/>
      <c r="U167" s="112">
        <f t="shared" si="126"/>
        <v>0</v>
      </c>
      <c r="V167" s="138"/>
      <c r="W167" s="138"/>
      <c r="X167" s="130"/>
      <c r="Y167" s="130"/>
      <c r="Z167" s="453"/>
    </row>
    <row r="168" spans="1:26" ht="12.75" hidden="1" customHeight="1">
      <c r="A168" s="316"/>
      <c r="B168" s="109" t="s">
        <v>224</v>
      </c>
      <c r="C168" s="379"/>
      <c r="D168" s="328"/>
      <c r="E168" s="393"/>
      <c r="F168" s="393"/>
      <c r="G168" s="254"/>
      <c r="H168" s="253"/>
      <c r="I168" s="253"/>
      <c r="J168" s="253"/>
      <c r="K168" s="253"/>
      <c r="L168" s="253"/>
      <c r="M168" s="111"/>
      <c r="N168" s="253"/>
      <c r="O168" s="111"/>
      <c r="P168" s="253"/>
      <c r="Q168" s="113"/>
      <c r="R168" s="111"/>
      <c r="S168" s="111"/>
      <c r="T168" s="253"/>
      <c r="U168" s="112"/>
      <c r="V168" s="253"/>
      <c r="W168" s="253"/>
      <c r="X168" s="253"/>
      <c r="Y168" s="253"/>
      <c r="Z168" s="453"/>
    </row>
    <row r="169" spans="1:26">
      <c r="A169" s="316"/>
      <c r="B169" s="22" t="s">
        <v>27</v>
      </c>
      <c r="C169" s="379"/>
      <c r="D169" s="328"/>
      <c r="E169" s="393"/>
      <c r="F169" s="393"/>
      <c r="G169" s="134">
        <f>SUM(G170)</f>
        <v>0</v>
      </c>
      <c r="H169" s="188">
        <f t="shared" ref="H169:S169" si="127">SUM(H170)</f>
        <v>0</v>
      </c>
      <c r="I169" s="188">
        <f t="shared" si="127"/>
        <v>0</v>
      </c>
      <c r="J169" s="188">
        <f t="shared" si="127"/>
        <v>0</v>
      </c>
      <c r="K169" s="188">
        <f t="shared" si="127"/>
        <v>0</v>
      </c>
      <c r="L169" s="188">
        <f t="shared" si="127"/>
        <v>0</v>
      </c>
      <c r="M169" s="188">
        <f t="shared" si="127"/>
        <v>0</v>
      </c>
      <c r="N169" s="188">
        <f t="shared" si="127"/>
        <v>0</v>
      </c>
      <c r="O169" s="188">
        <f t="shared" si="127"/>
        <v>0</v>
      </c>
      <c r="P169" s="240">
        <f t="shared" si="127"/>
        <v>0</v>
      </c>
      <c r="Q169" s="240">
        <f t="shared" si="127"/>
        <v>0</v>
      </c>
      <c r="R169" s="240">
        <f t="shared" si="127"/>
        <v>0</v>
      </c>
      <c r="S169" s="240">
        <f t="shared" si="127"/>
        <v>0</v>
      </c>
      <c r="T169" s="130">
        <f>H169+L169</f>
        <v>0</v>
      </c>
      <c r="U169" s="138">
        <f>I169+M169+Q169</f>
        <v>0</v>
      </c>
      <c r="V169" s="138">
        <f>J169+N169</f>
        <v>0</v>
      </c>
      <c r="W169" s="138">
        <f>K169+O169</f>
        <v>0</v>
      </c>
      <c r="X169" s="130"/>
      <c r="Y169" s="130"/>
      <c r="Z169" s="453"/>
    </row>
    <row r="170" spans="1:26">
      <c r="A170" s="316"/>
      <c r="B170" s="42" t="s">
        <v>51</v>
      </c>
      <c r="C170" s="379"/>
      <c r="D170" s="328"/>
      <c r="E170" s="393"/>
      <c r="F170" s="393"/>
      <c r="G170" s="133">
        <f>SUM(H170:Y170)</f>
        <v>0</v>
      </c>
      <c r="H170" s="130"/>
      <c r="I170" s="130"/>
      <c r="J170" s="130"/>
      <c r="K170" s="130"/>
      <c r="L170" s="130"/>
      <c r="M170" s="130"/>
      <c r="N170" s="130"/>
      <c r="O170" s="130"/>
      <c r="P170" s="233"/>
      <c r="Q170" s="233"/>
      <c r="R170" s="233"/>
      <c r="S170" s="233"/>
      <c r="T170" s="138">
        <f t="shared" ref="T170:W188" si="128">H170+L170</f>
        <v>0</v>
      </c>
      <c r="U170" s="241">
        <f>I170+M170+Q170</f>
        <v>0</v>
      </c>
      <c r="V170" s="138">
        <f t="shared" si="128"/>
        <v>0</v>
      </c>
      <c r="W170" s="138">
        <f t="shared" si="128"/>
        <v>0</v>
      </c>
      <c r="X170" s="130"/>
      <c r="Y170" s="130"/>
      <c r="Z170" s="453"/>
    </row>
    <row r="171" spans="1:26">
      <c r="A171" s="316"/>
      <c r="B171" s="22" t="s">
        <v>28</v>
      </c>
      <c r="C171" s="379"/>
      <c r="D171" s="328"/>
      <c r="E171" s="393"/>
      <c r="F171" s="393"/>
      <c r="G171" s="134">
        <f>SUM(G172:G180)</f>
        <v>832573.7</v>
      </c>
      <c r="H171" s="134">
        <f>SUM(H172:H180)</f>
        <v>832573.7</v>
      </c>
      <c r="I171" s="134">
        <f>I172+I176+I180</f>
        <v>391444.0149999999</v>
      </c>
      <c r="J171" s="134">
        <f>J172+J176+J180</f>
        <v>439509.60800000001</v>
      </c>
      <c r="K171" s="122">
        <f>K172+K176+K180</f>
        <v>439509.60800000001</v>
      </c>
      <c r="L171" s="122">
        <f>L172+L176+L180</f>
        <v>0</v>
      </c>
      <c r="M171" s="144">
        <f>M172+M176+M180</f>
        <v>184890.50099999999</v>
      </c>
      <c r="N171" s="202">
        <f t="shared" ref="N171:O171" si="129">N172+N176+N180</f>
        <v>146673.14299999998</v>
      </c>
      <c r="O171" s="202">
        <f t="shared" si="129"/>
        <v>146673.14299999998</v>
      </c>
      <c r="P171" s="122">
        <f>P172+P176+P180</f>
        <v>0</v>
      </c>
      <c r="Q171" s="240">
        <f>Q172+Q176+Q180</f>
        <v>0</v>
      </c>
      <c r="R171" s="240">
        <f t="shared" ref="R171:S171" si="130">R172+R176+R180</f>
        <v>0</v>
      </c>
      <c r="S171" s="262">
        <f t="shared" si="130"/>
        <v>0</v>
      </c>
      <c r="T171" s="138">
        <f t="shared" si="128"/>
        <v>832573.7</v>
      </c>
      <c r="U171" s="138">
        <f>I171+M171+Q171</f>
        <v>576334.51599999983</v>
      </c>
      <c r="V171" s="265">
        <f t="shared" ref="V171:W172" si="131">J171+N171+R171</f>
        <v>586182.75099999993</v>
      </c>
      <c r="W171" s="265">
        <f t="shared" si="131"/>
        <v>586182.75099999993</v>
      </c>
      <c r="X171" s="134">
        <f>X172+X176+X180</f>
        <v>77717.709000000017</v>
      </c>
      <c r="Y171" s="134">
        <f>Y172+Y176+Y180</f>
        <v>439509.60800000001</v>
      </c>
      <c r="Z171" s="453"/>
    </row>
    <row r="172" spans="1:26">
      <c r="A172" s="316"/>
      <c r="B172" s="42" t="s">
        <v>29</v>
      </c>
      <c r="C172" s="400"/>
      <c r="D172" s="393"/>
      <c r="E172" s="393"/>
      <c r="F172" s="393"/>
      <c r="G172" s="133">
        <f>SUM(H172)</f>
        <v>670084.19999999995</v>
      </c>
      <c r="H172" s="133">
        <f>439426.4+230657.8</f>
        <v>670084.19999999995</v>
      </c>
      <c r="I172" s="133">
        <f>SUM(I173:I174)</f>
        <v>288879.9709999999</v>
      </c>
      <c r="J172" s="133">
        <f>SUM(J173:J175)</f>
        <v>327492.69</v>
      </c>
      <c r="K172" s="133">
        <f>SUM(K173:K175)</f>
        <v>327492.69</v>
      </c>
      <c r="L172" s="133">
        <f>SUM(L173:L175)</f>
        <v>0</v>
      </c>
      <c r="M172" s="145">
        <f>SUM(M173:M175)</f>
        <v>159979.34299999999</v>
      </c>
      <c r="N172" s="187">
        <f t="shared" ref="N172:O172" si="132">SUM(N173:N174)</f>
        <v>128604.74</v>
      </c>
      <c r="O172" s="187">
        <f t="shared" si="132"/>
        <v>128604.74</v>
      </c>
      <c r="P172" s="239">
        <f>SUM(P173:P175)</f>
        <v>0</v>
      </c>
      <c r="Q172" s="239">
        <f>SUM(Q173:Q175)</f>
        <v>0</v>
      </c>
      <c r="R172" s="239">
        <f t="shared" ref="R172:S172" si="133">SUM(R173:R174)</f>
        <v>0</v>
      </c>
      <c r="S172" s="239">
        <f t="shared" si="133"/>
        <v>0</v>
      </c>
      <c r="T172" s="143">
        <f t="shared" si="128"/>
        <v>670084.19999999995</v>
      </c>
      <c r="U172" s="143">
        <f>I172+M172+Q172</f>
        <v>448859.3139999999</v>
      </c>
      <c r="V172" s="267">
        <f t="shared" si="131"/>
        <v>456097.43</v>
      </c>
      <c r="W172" s="267">
        <f t="shared" si="131"/>
        <v>456097.43</v>
      </c>
      <c r="X172" s="133">
        <f>SUM(X173:X174)</f>
        <v>74142.412000000011</v>
      </c>
      <c r="Y172" s="133">
        <f>SUM(Y173:Y175)</f>
        <v>327492.69</v>
      </c>
      <c r="Z172" s="453"/>
    </row>
    <row r="173" spans="1:26" ht="13.5" hidden="1">
      <c r="A173" s="316"/>
      <c r="B173" s="69" t="s">
        <v>160</v>
      </c>
      <c r="C173" s="400"/>
      <c r="D173" s="393"/>
      <c r="E173" s="393"/>
      <c r="F173" s="393"/>
      <c r="G173" s="133"/>
      <c r="H173" s="133"/>
      <c r="I173" s="83">
        <f>18710.06+16972.4+13227.377+14316.43+35673.48+24690.182+33584.833+50742.454+17882.464+60819.3479999999</f>
        <v>286619.02799999987</v>
      </c>
      <c r="J173" s="85">
        <f>43942.635+16972.4+13227.377+14316.434+32284.497+3388.98+24690.182+159197.694</f>
        <v>308020.19900000002</v>
      </c>
      <c r="K173" s="85">
        <f>43942.635+16972.4+13227.377+14316.434+32284.497+3388.98+24690.182+159197.694</f>
        <v>308020.19900000002</v>
      </c>
      <c r="L173" s="85"/>
      <c r="M173" s="85">
        <f>1290.6+9069.511+13883.899+13027.387+19534.006+30752.158+5840.085+2082.139+4115.875+3500.253+3809.903+7634.506+27168.895</f>
        <v>141709.217</v>
      </c>
      <c r="N173" s="85">
        <f>33473.808+52387.55+41606.488</f>
        <v>127467.84600000001</v>
      </c>
      <c r="O173" s="85">
        <f>33473.808+52387.55+41606.488</f>
        <v>127467.84600000001</v>
      </c>
      <c r="P173" s="85"/>
      <c r="Q173" s="111"/>
      <c r="R173" s="85"/>
      <c r="S173" s="85"/>
      <c r="T173" s="112">
        <f t="shared" si="128"/>
        <v>0</v>
      </c>
      <c r="U173" s="112">
        <f>I173+M173+Q173</f>
        <v>428328.24499999988</v>
      </c>
      <c r="V173" s="112">
        <f t="shared" si="128"/>
        <v>435488.04500000004</v>
      </c>
      <c r="W173" s="112">
        <f t="shared" si="128"/>
        <v>435488.04500000004</v>
      </c>
      <c r="X173" s="85">
        <f>43942.635+16972.4+13227.377</f>
        <v>74142.412000000011</v>
      </c>
      <c r="Y173" s="85">
        <f>43942.635+16972.4+13227.377+14316.434+32284.497+3388.98+24690.182+159197.694</f>
        <v>308020.19900000002</v>
      </c>
      <c r="Z173" s="453"/>
    </row>
    <row r="174" spans="1:26" ht="13.5" hidden="1">
      <c r="A174" s="316"/>
      <c r="B174" s="69" t="s">
        <v>161</v>
      </c>
      <c r="C174" s="400"/>
      <c r="D174" s="393"/>
      <c r="E174" s="393"/>
      <c r="F174" s="393"/>
      <c r="G174" s="271"/>
      <c r="H174" s="133"/>
      <c r="I174" s="83">
        <f>553.7+901.21+806.033</f>
        <v>2260.9430000000002</v>
      </c>
      <c r="J174" s="83">
        <f>553.7+901.208+806.033</f>
        <v>2260.9409999999998</v>
      </c>
      <c r="K174" s="85">
        <f>100+100+353.7+901.208+806.033</f>
        <v>2260.9409999999998</v>
      </c>
      <c r="L174" s="85"/>
      <c r="M174" s="147">
        <f>421.795+636.781</f>
        <v>1058.576</v>
      </c>
      <c r="N174" s="147">
        <f>500.113+636.781</f>
        <v>1136.894</v>
      </c>
      <c r="O174" s="85">
        <f>500.113+636.781</f>
        <v>1136.894</v>
      </c>
      <c r="P174" s="85"/>
      <c r="Q174" s="111"/>
      <c r="R174" s="147"/>
      <c r="S174" s="85"/>
      <c r="T174" s="112">
        <f t="shared" si="128"/>
        <v>0</v>
      </c>
      <c r="U174" s="112">
        <f t="shared" ref="U174:U175" si="134">I174+M174+Q174</f>
        <v>3319.5190000000002</v>
      </c>
      <c r="V174" s="112">
        <f t="shared" si="128"/>
        <v>3397.835</v>
      </c>
      <c r="W174" s="112">
        <f t="shared" si="128"/>
        <v>3397.835</v>
      </c>
      <c r="X174" s="103"/>
      <c r="Y174" s="85">
        <f>100+100+353.7+901.208+806.033</f>
        <v>2260.9409999999998</v>
      </c>
      <c r="Z174" s="453"/>
    </row>
    <row r="175" spans="1:26" ht="13.5" hidden="1">
      <c r="A175" s="316"/>
      <c r="B175" s="69" t="s">
        <v>162</v>
      </c>
      <c r="C175" s="400"/>
      <c r="D175" s="393"/>
      <c r="E175" s="393"/>
      <c r="F175" s="393"/>
      <c r="G175" s="133"/>
      <c r="H175" s="133"/>
      <c r="I175" s="83"/>
      <c r="J175" s="83">
        <v>17211.55</v>
      </c>
      <c r="K175" s="85">
        <v>17211.55</v>
      </c>
      <c r="L175" s="85"/>
      <c r="M175" s="147">
        <v>17211.55</v>
      </c>
      <c r="N175" s="147"/>
      <c r="O175" s="85"/>
      <c r="P175" s="85"/>
      <c r="Q175" s="111"/>
      <c r="R175" s="147"/>
      <c r="S175" s="85"/>
      <c r="T175" s="112">
        <f t="shared" si="128"/>
        <v>0</v>
      </c>
      <c r="U175" s="112">
        <f t="shared" si="134"/>
        <v>17211.55</v>
      </c>
      <c r="V175" s="112">
        <f t="shared" si="128"/>
        <v>17211.55</v>
      </c>
      <c r="W175" s="112">
        <f t="shared" si="128"/>
        <v>17211.55</v>
      </c>
      <c r="X175" s="103"/>
      <c r="Y175" s="85">
        <v>17211.55</v>
      </c>
      <c r="Z175" s="453"/>
    </row>
    <row r="176" spans="1:26">
      <c r="A176" s="316"/>
      <c r="B176" s="39" t="s">
        <v>30</v>
      </c>
      <c r="C176" s="400"/>
      <c r="D176" s="393"/>
      <c r="E176" s="393"/>
      <c r="F176" s="393"/>
      <c r="G176" s="133">
        <f t="shared" ref="G176" si="135">SUM(H176)</f>
        <v>31396.6</v>
      </c>
      <c r="H176" s="133">
        <f>17431.3+13965.3</f>
        <v>31396.6</v>
      </c>
      <c r="I176" s="133">
        <f>SUM(I177:I178)</f>
        <v>15383.669</v>
      </c>
      <c r="J176" s="133">
        <f>SUM(J177:J178)</f>
        <v>17113.269</v>
      </c>
      <c r="K176" s="133">
        <f>SUM(K177:K178)</f>
        <v>17113.269</v>
      </c>
      <c r="L176" s="133">
        <f>SUM(L177:L178)</f>
        <v>0</v>
      </c>
      <c r="M176" s="145">
        <f>SUM(M177:M179)</f>
        <v>7860.107</v>
      </c>
      <c r="N176" s="187">
        <f t="shared" ref="N176:O176" si="136">SUM(N177:N178)</f>
        <v>5361.9560000000001</v>
      </c>
      <c r="O176" s="197">
        <f t="shared" si="136"/>
        <v>5361.9560000000001</v>
      </c>
      <c r="P176" s="239">
        <f>SUM(P177:P178)</f>
        <v>0</v>
      </c>
      <c r="Q176" s="239">
        <f>SUM(Q177:Q179)</f>
        <v>0</v>
      </c>
      <c r="R176" s="258">
        <f t="shared" ref="R176:S176" si="137">SUM(R177:R179)</f>
        <v>0</v>
      </c>
      <c r="S176" s="258">
        <f t="shared" si="137"/>
        <v>0</v>
      </c>
      <c r="T176" s="143">
        <f t="shared" si="128"/>
        <v>31396.6</v>
      </c>
      <c r="U176" s="242">
        <f>I176+M176+Q176</f>
        <v>23243.775999999998</v>
      </c>
      <c r="V176" s="267">
        <f t="shared" ref="V176:W176" si="138">J176+N176+R176</f>
        <v>22475.224999999999</v>
      </c>
      <c r="W176" s="267">
        <f t="shared" si="138"/>
        <v>22475.224999999999</v>
      </c>
      <c r="X176" s="133">
        <f>SUM(X177:X178)</f>
        <v>3575.297</v>
      </c>
      <c r="Y176" s="133">
        <f>SUM(Y177:Y178)</f>
        <v>17113.269</v>
      </c>
      <c r="Z176" s="453"/>
    </row>
    <row r="177" spans="1:27" ht="13.5" hidden="1">
      <c r="A177" s="316"/>
      <c r="B177" s="69" t="s">
        <v>160</v>
      </c>
      <c r="C177" s="400"/>
      <c r="D177" s="393"/>
      <c r="E177" s="393"/>
      <c r="F177" s="393"/>
      <c r="G177" s="133"/>
      <c r="H177" s="133"/>
      <c r="I177" s="83">
        <f>1027.6+804.564+2169.86+870.807+1501.797+2033.406+3086.445+710.286+3143.508</f>
        <v>15348.272999999999</v>
      </c>
      <c r="J177" s="85">
        <f>1743.133+1027.6+804.564+870.807+2169.863+1501.797+138.812+8821.299</f>
        <v>17077.875</v>
      </c>
      <c r="K177" s="85">
        <f>1743.133+1027.6+804.564+870.807+2169.863+1501.797+138.812+8821.299</f>
        <v>17077.875</v>
      </c>
      <c r="L177" s="85"/>
      <c r="M177" s="85">
        <f>47.896+378.126+579.349+543.8+815.405+1283.683+243.782+86.879+171.808+146.111+159.036+318.686+1134.107</f>
        <v>5908.6679999999997</v>
      </c>
      <c r="N177" s="85">
        <f>1408.372+2186.774+1736.774</f>
        <v>5331.92</v>
      </c>
      <c r="O177" s="85">
        <f>1408.372+2186.774+1736.774</f>
        <v>5331.92</v>
      </c>
      <c r="P177" s="85"/>
      <c r="Q177" s="85"/>
      <c r="R177" s="85"/>
      <c r="S177" s="85"/>
      <c r="T177" s="112">
        <f t="shared" si="128"/>
        <v>0</v>
      </c>
      <c r="U177" s="112">
        <f>I177+M177+Q177</f>
        <v>21256.940999999999</v>
      </c>
      <c r="V177" s="112">
        <f t="shared" si="128"/>
        <v>22409.794999999998</v>
      </c>
      <c r="W177" s="112">
        <f t="shared" si="128"/>
        <v>22409.794999999998</v>
      </c>
      <c r="X177" s="85">
        <f>1743.133+1027.6+804.564</f>
        <v>3575.297</v>
      </c>
      <c r="Y177" s="85">
        <f>1743.133+1027.6+804.564+870.807+2169.863+1501.797+138.812+8821.299</f>
        <v>17077.875</v>
      </c>
      <c r="Z177" s="453"/>
    </row>
    <row r="178" spans="1:27" ht="13.5" hidden="1">
      <c r="A178" s="316"/>
      <c r="B178" s="69" t="s">
        <v>161</v>
      </c>
      <c r="C178" s="400"/>
      <c r="D178" s="393"/>
      <c r="E178" s="393"/>
      <c r="F178" s="393"/>
      <c r="G178" s="133"/>
      <c r="H178" s="133"/>
      <c r="I178" s="83">
        <f>16.36+19.036</f>
        <v>35.396000000000001</v>
      </c>
      <c r="J178" s="83">
        <f>16.358+19.036</f>
        <v>35.394000000000005</v>
      </c>
      <c r="K178" s="85">
        <f>16.358+19.036</f>
        <v>35.394000000000005</v>
      </c>
      <c r="L178" s="85"/>
      <c r="M178" s="147">
        <f>15.653+30.036</f>
        <v>45.689</v>
      </c>
      <c r="N178" s="147">
        <f>30.036</f>
        <v>30.036000000000001</v>
      </c>
      <c r="O178" s="85">
        <f>30.036</f>
        <v>30.036000000000001</v>
      </c>
      <c r="P178" s="85"/>
      <c r="Q178" s="147"/>
      <c r="R178" s="147"/>
      <c r="S178" s="85"/>
      <c r="T178" s="112">
        <f t="shared" si="128"/>
        <v>0</v>
      </c>
      <c r="U178" s="112">
        <f t="shared" ref="U178:U179" si="139">I178+M178+Q178</f>
        <v>81.085000000000008</v>
      </c>
      <c r="V178" s="112">
        <f t="shared" si="128"/>
        <v>65.430000000000007</v>
      </c>
      <c r="W178" s="112">
        <f t="shared" si="128"/>
        <v>65.430000000000007</v>
      </c>
      <c r="X178" s="103"/>
      <c r="Y178" s="85">
        <f>16.358+19.036</f>
        <v>35.394000000000005</v>
      </c>
      <c r="Z178" s="453"/>
    </row>
    <row r="179" spans="1:27" ht="13.5" hidden="1">
      <c r="A179" s="316"/>
      <c r="B179" s="69" t="s">
        <v>162</v>
      </c>
      <c r="C179" s="400"/>
      <c r="D179" s="393"/>
      <c r="E179" s="393"/>
      <c r="F179" s="393"/>
      <c r="G179" s="220"/>
      <c r="H179" s="220"/>
      <c r="I179" s="83"/>
      <c r="J179" s="83"/>
      <c r="K179" s="85"/>
      <c r="L179" s="85"/>
      <c r="M179" s="147">
        <v>1905.75</v>
      </c>
      <c r="N179" s="147"/>
      <c r="O179" s="85"/>
      <c r="P179" s="85"/>
      <c r="Q179" s="147"/>
      <c r="R179" s="147"/>
      <c r="S179" s="85"/>
      <c r="T179" s="112"/>
      <c r="U179" s="112">
        <f t="shared" si="139"/>
        <v>1905.75</v>
      </c>
      <c r="V179" s="112"/>
      <c r="W179" s="112"/>
      <c r="X179" s="103"/>
      <c r="Y179" s="85"/>
      <c r="Z179" s="453"/>
    </row>
    <row r="180" spans="1:27">
      <c r="A180" s="316"/>
      <c r="B180" s="39" t="s">
        <v>31</v>
      </c>
      <c r="C180" s="400"/>
      <c r="D180" s="393"/>
      <c r="E180" s="393"/>
      <c r="F180" s="393"/>
      <c r="G180" s="133">
        <f>SUM(H180)</f>
        <v>131092.9</v>
      </c>
      <c r="H180" s="133">
        <v>131092.9</v>
      </c>
      <c r="I180" s="133">
        <f>SUM(I181:I182)</f>
        <v>87180.375</v>
      </c>
      <c r="J180" s="133">
        <f>SUM(J181:J183)</f>
        <v>94903.649000000005</v>
      </c>
      <c r="K180" s="133">
        <f>SUM(K181:K183)</f>
        <v>94903.649000000005</v>
      </c>
      <c r="L180" s="133">
        <f>SUM(L181:L183)</f>
        <v>0</v>
      </c>
      <c r="M180" s="145">
        <f>SUM(M181:M183)</f>
        <v>17051.051000000003</v>
      </c>
      <c r="N180" s="187">
        <f t="shared" ref="N180:O180" si="140">SUM(N181:N182)</f>
        <v>12706.447</v>
      </c>
      <c r="O180" s="197">
        <f t="shared" si="140"/>
        <v>12706.447</v>
      </c>
      <c r="P180" s="239">
        <f>SUM(P181:P183)</f>
        <v>0</v>
      </c>
      <c r="Q180" s="239">
        <f>SUM(Q181:Q183)</f>
        <v>0</v>
      </c>
      <c r="R180" s="258">
        <f t="shared" ref="R180:S180" si="141">SUM(R181:R183)</f>
        <v>0</v>
      </c>
      <c r="S180" s="258">
        <f t="shared" si="141"/>
        <v>0</v>
      </c>
      <c r="T180" s="143">
        <f t="shared" si="128"/>
        <v>131092.9</v>
      </c>
      <c r="U180" s="242">
        <f>I180+M180+Q180</f>
        <v>104231.42600000001</v>
      </c>
      <c r="V180" s="267">
        <f t="shared" ref="V180:W180" si="142">J180+N180+R180</f>
        <v>107610.09600000001</v>
      </c>
      <c r="W180" s="267">
        <f t="shared" si="142"/>
        <v>107610.09600000001</v>
      </c>
      <c r="X180" s="133">
        <f>SUM(X181:X182)</f>
        <v>0</v>
      </c>
      <c r="Y180" s="133">
        <f>SUM(Y181:Y183)</f>
        <v>94903.649000000005</v>
      </c>
      <c r="Z180" s="453"/>
    </row>
    <row r="181" spans="1:27" ht="13.5" hidden="1">
      <c r="A181" s="316"/>
      <c r="B181" s="69" t="s">
        <v>160</v>
      </c>
      <c r="C181" s="400"/>
      <c r="D181" s="393"/>
      <c r="E181" s="393"/>
      <c r="F181" s="393"/>
      <c r="G181" s="133"/>
      <c r="H181" s="133"/>
      <c r="I181" s="83">
        <f>23315.96+8546.6+393.91+3366.538+3643.72+9079.36+6283.969+8508.385+12914.608+2841.145+8144.611</f>
        <v>87038.805999999997</v>
      </c>
      <c r="J181" s="83">
        <f>23315.955+4600+8546.6+393.908+3366.538+3643.717+9079.361+6283.969+799.314+31800.021</f>
        <v>91829.383000000002</v>
      </c>
      <c r="K181" s="85">
        <f>23315.955+4600+8546.6+393.908+3366.538+3643.717+9079.361+6283.969+799.314+31800.021</f>
        <v>91829.383000000002</v>
      </c>
      <c r="L181" s="85"/>
      <c r="M181" s="147">
        <f>191.738+958.047+1466.092+1268.825+1902.548+2995.159+568.804+201.879+400.872+340.913+371.073+743.576+2646.161</f>
        <v>14055.687000000002</v>
      </c>
      <c r="N181" s="147">
        <f>3552.562+5101.55+4052.335</f>
        <v>12706.447</v>
      </c>
      <c r="O181" s="85">
        <f>3552.562+5101.55+4052.335</f>
        <v>12706.447</v>
      </c>
      <c r="P181" s="85"/>
      <c r="Q181" s="147"/>
      <c r="R181" s="147"/>
      <c r="S181" s="85"/>
      <c r="T181" s="112">
        <f t="shared" si="128"/>
        <v>0</v>
      </c>
      <c r="U181" s="112">
        <f>I181+M181+Q181</f>
        <v>101094.493</v>
      </c>
      <c r="V181" s="112">
        <f t="shared" si="128"/>
        <v>104535.83</v>
      </c>
      <c r="W181" s="112">
        <f t="shared" si="128"/>
        <v>104535.83</v>
      </c>
      <c r="X181" s="104"/>
      <c r="Y181" s="85">
        <f>23315.955+4600+8546.6+393.908+3366.538+3643.717+9079.361+6283.969+799.314+31800.021</f>
        <v>91829.383000000002</v>
      </c>
      <c r="Z181" s="453"/>
      <c r="AA181" s="221"/>
    </row>
    <row r="182" spans="1:27" ht="13.5" hidden="1">
      <c r="A182" s="316"/>
      <c r="B182" s="69" t="s">
        <v>161</v>
      </c>
      <c r="C182" s="400"/>
      <c r="D182" s="393"/>
      <c r="E182" s="393"/>
      <c r="F182" s="393"/>
      <c r="G182" s="133"/>
      <c r="H182" s="133"/>
      <c r="I182" s="83">
        <f>65.43+76.139</f>
        <v>141.56900000000002</v>
      </c>
      <c r="J182" s="105">
        <f>65.427+76.139</f>
        <v>141.566</v>
      </c>
      <c r="K182" s="108">
        <f>65.427+76.139</f>
        <v>141.566</v>
      </c>
      <c r="L182" s="108"/>
      <c r="M182" s="150">
        <v>62.664000000000001</v>
      </c>
      <c r="N182" s="150"/>
      <c r="O182" s="108"/>
      <c r="P182" s="108"/>
      <c r="Q182" s="150"/>
      <c r="R182" s="150"/>
      <c r="S182" s="108"/>
      <c r="T182" s="112">
        <f t="shared" si="128"/>
        <v>0</v>
      </c>
      <c r="U182" s="112">
        <f t="shared" ref="U182:U183" si="143">I182+M182+Q182</f>
        <v>204.233</v>
      </c>
      <c r="V182" s="112">
        <f t="shared" si="128"/>
        <v>141.566</v>
      </c>
      <c r="W182" s="112">
        <f t="shared" si="128"/>
        <v>141.566</v>
      </c>
      <c r="X182" s="106"/>
      <c r="Y182" s="107">
        <f>65.427+76.139</f>
        <v>141.566</v>
      </c>
      <c r="Z182" s="453"/>
    </row>
    <row r="183" spans="1:27" ht="13.5" hidden="1">
      <c r="A183" s="316"/>
      <c r="B183" s="69" t="s">
        <v>162</v>
      </c>
      <c r="C183" s="400"/>
      <c r="D183" s="393"/>
      <c r="E183" s="393"/>
      <c r="F183" s="393"/>
      <c r="G183" s="133"/>
      <c r="H183" s="133"/>
      <c r="I183" s="83"/>
      <c r="J183" s="105">
        <v>2932.7</v>
      </c>
      <c r="K183" s="108">
        <v>2932.7</v>
      </c>
      <c r="L183" s="108"/>
      <c r="M183" s="150">
        <v>2932.7</v>
      </c>
      <c r="N183" s="150"/>
      <c r="O183" s="108"/>
      <c r="P183" s="108"/>
      <c r="Q183" s="150"/>
      <c r="R183" s="150"/>
      <c r="S183" s="108"/>
      <c r="T183" s="112">
        <f t="shared" si="128"/>
        <v>0</v>
      </c>
      <c r="U183" s="112">
        <f t="shared" si="143"/>
        <v>2932.7</v>
      </c>
      <c r="V183" s="112">
        <f t="shared" si="128"/>
        <v>2932.7</v>
      </c>
      <c r="W183" s="112">
        <f t="shared" si="128"/>
        <v>2932.7</v>
      </c>
      <c r="X183" s="106"/>
      <c r="Y183" s="108">
        <v>2932.7</v>
      </c>
      <c r="Z183" s="453"/>
    </row>
    <row r="184" spans="1:27">
      <c r="A184" s="316"/>
      <c r="B184" s="21" t="s">
        <v>52</v>
      </c>
      <c r="C184" s="400"/>
      <c r="D184" s="393"/>
      <c r="E184" s="393"/>
      <c r="F184" s="393"/>
      <c r="G184" s="134">
        <f>SUM(G185:G186)</f>
        <v>1410209.9780000001</v>
      </c>
      <c r="H184" s="134">
        <f t="shared" ref="H184:P184" si="144">SUM(H185:H188)</f>
        <v>683400</v>
      </c>
      <c r="I184" s="134">
        <f t="shared" si="144"/>
        <v>73211.207999999999</v>
      </c>
      <c r="J184" s="134">
        <f t="shared" si="144"/>
        <v>0</v>
      </c>
      <c r="K184" s="134">
        <f t="shared" si="144"/>
        <v>0</v>
      </c>
      <c r="L184" s="134">
        <f t="shared" si="144"/>
        <v>0</v>
      </c>
      <c r="M184" s="188">
        <f t="shared" si="144"/>
        <v>0</v>
      </c>
      <c r="N184" s="188">
        <f t="shared" si="144"/>
        <v>0</v>
      </c>
      <c r="O184" s="196">
        <f t="shared" si="144"/>
        <v>0</v>
      </c>
      <c r="P184" s="240">
        <f t="shared" si="144"/>
        <v>0</v>
      </c>
      <c r="Q184" s="240">
        <f>SUM(Q185:Q186)</f>
        <v>21704.989000000001</v>
      </c>
      <c r="R184" s="240">
        <f>SUM(R185:R188)</f>
        <v>0</v>
      </c>
      <c r="S184" s="240">
        <f>SUM(S185:S188)</f>
        <v>0</v>
      </c>
      <c r="T184" s="138">
        <f t="shared" si="128"/>
        <v>683400</v>
      </c>
      <c r="U184" s="138">
        <f>I184+M184+Q184</f>
        <v>94916.197</v>
      </c>
      <c r="V184" s="265">
        <f t="shared" ref="V184:W184" si="145">J184+N184+R184</f>
        <v>0</v>
      </c>
      <c r="W184" s="265">
        <f t="shared" si="145"/>
        <v>0</v>
      </c>
      <c r="X184" s="134">
        <f>SUM(X185:X188)</f>
        <v>0</v>
      </c>
      <c r="Y184" s="134">
        <f>SUM(Y185:Y188)</f>
        <v>0</v>
      </c>
      <c r="Z184" s="400"/>
    </row>
    <row r="185" spans="1:27">
      <c r="A185" s="316"/>
      <c r="B185" s="39" t="s">
        <v>53</v>
      </c>
      <c r="C185" s="400"/>
      <c r="D185" s="393"/>
      <c r="E185" s="393"/>
      <c r="F185" s="393"/>
      <c r="G185" s="133">
        <f>SUM(H185:Y185)</f>
        <v>714000</v>
      </c>
      <c r="H185" s="133">
        <v>357000</v>
      </c>
      <c r="I185" s="133"/>
      <c r="J185" s="133"/>
      <c r="K185" s="133"/>
      <c r="L185" s="133"/>
      <c r="M185" s="133"/>
      <c r="N185" s="133"/>
      <c r="O185" s="197"/>
      <c r="P185" s="239"/>
      <c r="Q185" s="239"/>
      <c r="R185" s="239"/>
      <c r="S185" s="239"/>
      <c r="T185" s="143">
        <f t="shared" si="128"/>
        <v>357000</v>
      </c>
      <c r="U185" s="143">
        <f>I185+M185+Q185</f>
        <v>0</v>
      </c>
      <c r="V185" s="143">
        <f t="shared" si="128"/>
        <v>0</v>
      </c>
      <c r="W185" s="143">
        <f t="shared" si="128"/>
        <v>0</v>
      </c>
      <c r="X185" s="134"/>
      <c r="Y185" s="134"/>
      <c r="Z185" s="400"/>
    </row>
    <row r="186" spans="1:27">
      <c r="A186" s="393"/>
      <c r="B186" s="39" t="s">
        <v>54</v>
      </c>
      <c r="C186" s="400"/>
      <c r="D186" s="393"/>
      <c r="E186" s="393"/>
      <c r="F186" s="393"/>
      <c r="G186" s="133">
        <f>SUM(H186:Y186)</f>
        <v>696209.97800000012</v>
      </c>
      <c r="H186" s="133">
        <v>326400</v>
      </c>
      <c r="I186" s="133"/>
      <c r="J186" s="133"/>
      <c r="K186" s="133"/>
      <c r="L186" s="133"/>
      <c r="M186" s="133"/>
      <c r="N186" s="133"/>
      <c r="O186" s="197"/>
      <c r="P186" s="239"/>
      <c r="Q186" s="239">
        <f>21704.989</f>
        <v>21704.989000000001</v>
      </c>
      <c r="R186" s="239"/>
      <c r="S186" s="239"/>
      <c r="T186" s="143">
        <f t="shared" si="128"/>
        <v>326400</v>
      </c>
      <c r="U186" s="242">
        <f t="shared" ref="U186:U187" si="146">I186+M186+Q186</f>
        <v>21704.989000000001</v>
      </c>
      <c r="V186" s="143">
        <f t="shared" si="128"/>
        <v>0</v>
      </c>
      <c r="W186" s="143">
        <f t="shared" si="128"/>
        <v>0</v>
      </c>
      <c r="X186" s="134"/>
      <c r="Y186" s="133"/>
      <c r="Z186" s="400"/>
    </row>
    <row r="187" spans="1:27" ht="12.75" hidden="1" customHeight="1">
      <c r="A187" s="393"/>
      <c r="B187" s="69"/>
      <c r="C187" s="400"/>
      <c r="D187" s="393"/>
      <c r="E187" s="393"/>
      <c r="F187" s="393"/>
      <c r="G187" s="133"/>
      <c r="H187" s="133"/>
      <c r="I187" s="100">
        <f>1147.119+999.85+665.384+3128.252+3293.536+1610.884+60414.68+1951.503</f>
        <v>73211.207999999999</v>
      </c>
      <c r="J187" s="133"/>
      <c r="K187" s="133"/>
      <c r="L187" s="133"/>
      <c r="M187" s="133"/>
      <c r="N187" s="133"/>
      <c r="O187" s="133"/>
      <c r="P187" s="239"/>
      <c r="Q187" s="239"/>
      <c r="R187" s="239"/>
      <c r="S187" s="239"/>
      <c r="T187" s="138">
        <f t="shared" si="128"/>
        <v>0</v>
      </c>
      <c r="U187" s="242">
        <f t="shared" si="146"/>
        <v>73211.207999999999</v>
      </c>
      <c r="V187" s="138">
        <f t="shared" si="128"/>
        <v>0</v>
      </c>
      <c r="W187" s="138">
        <f t="shared" si="128"/>
        <v>0</v>
      </c>
      <c r="X187" s="134"/>
      <c r="Y187" s="133"/>
      <c r="Z187" s="400"/>
    </row>
    <row r="188" spans="1:27" ht="12" customHeight="1">
      <c r="A188" s="392"/>
      <c r="B188" s="22" t="s">
        <v>36</v>
      </c>
      <c r="C188" s="401"/>
      <c r="D188" s="392"/>
      <c r="E188" s="392"/>
      <c r="F188" s="392"/>
      <c r="G188" s="134">
        <f>SUM(H188:Y188)</f>
        <v>4708</v>
      </c>
      <c r="H188" s="134">
        <v>0</v>
      </c>
      <c r="I188" s="134"/>
      <c r="J188" s="134"/>
      <c r="K188" s="134"/>
      <c r="L188" s="134"/>
      <c r="M188" s="134"/>
      <c r="N188" s="134"/>
      <c r="O188" s="134"/>
      <c r="P188" s="240"/>
      <c r="Q188" s="240">
        <f>Q189</f>
        <v>2354</v>
      </c>
      <c r="R188" s="240"/>
      <c r="S188" s="240"/>
      <c r="T188" s="138">
        <f t="shared" si="128"/>
        <v>0</v>
      </c>
      <c r="U188" s="138">
        <f>I188+M188+Q188</f>
        <v>2354</v>
      </c>
      <c r="V188" s="138">
        <f t="shared" si="128"/>
        <v>0</v>
      </c>
      <c r="W188" s="138">
        <f t="shared" si="128"/>
        <v>0</v>
      </c>
      <c r="X188" s="134">
        <v>0</v>
      </c>
      <c r="Y188" s="134">
        <v>0</v>
      </c>
      <c r="Z188" s="401"/>
    </row>
    <row r="189" spans="1:27" s="163" customFormat="1" ht="13.5" hidden="1">
      <c r="A189" s="280"/>
      <c r="B189" s="109" t="s">
        <v>251</v>
      </c>
      <c r="C189" s="281"/>
      <c r="D189" s="280"/>
      <c r="E189" s="280"/>
      <c r="F189" s="280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105">
        <v>2354</v>
      </c>
      <c r="R189" s="219"/>
      <c r="S189" s="219"/>
      <c r="T189" s="112"/>
      <c r="U189" s="112"/>
      <c r="V189" s="112"/>
      <c r="W189" s="112"/>
      <c r="X189" s="219"/>
      <c r="Y189" s="219"/>
      <c r="Z189" s="281"/>
    </row>
    <row r="190" spans="1:27">
      <c r="A190" s="315" t="s">
        <v>84</v>
      </c>
      <c r="B190" s="20" t="s">
        <v>115</v>
      </c>
      <c r="C190" s="330" t="s">
        <v>41</v>
      </c>
      <c r="D190" s="327" t="s">
        <v>2</v>
      </c>
      <c r="E190" s="300">
        <v>30</v>
      </c>
      <c r="F190" s="396" t="s">
        <v>17</v>
      </c>
      <c r="G190" s="24">
        <f>G191+G193+G195+G199+G200</f>
        <v>1081.5</v>
      </c>
      <c r="H190" s="24">
        <f>H191+H193+H195+H199+H200</f>
        <v>0</v>
      </c>
      <c r="I190" s="175"/>
      <c r="J190" s="175"/>
      <c r="K190" s="175"/>
      <c r="L190" s="24">
        <f>L191+L193+L195+L199+L200</f>
        <v>1081.5</v>
      </c>
      <c r="M190" s="193">
        <v>0</v>
      </c>
      <c r="N190" s="193">
        <v>0</v>
      </c>
      <c r="O190" s="193">
        <v>0</v>
      </c>
      <c r="P190" s="24">
        <f>P191+P193+P195+P199+P200</f>
        <v>0</v>
      </c>
      <c r="Q190" s="193">
        <v>0</v>
      </c>
      <c r="R190" s="193">
        <v>0</v>
      </c>
      <c r="S190" s="193">
        <v>0</v>
      </c>
      <c r="T190" s="24">
        <f>H190+L190</f>
        <v>1081.5</v>
      </c>
      <c r="U190" s="24">
        <f>I190+M190+Q190</f>
        <v>0</v>
      </c>
      <c r="V190" s="24">
        <f t="shared" ref="V190:W191" si="147">J190+N190+R190</f>
        <v>0</v>
      </c>
      <c r="W190" s="24">
        <f t="shared" si="147"/>
        <v>0</v>
      </c>
      <c r="X190" s="25"/>
      <c r="Y190" s="25"/>
      <c r="Z190" s="304"/>
    </row>
    <row r="191" spans="1:27">
      <c r="A191" s="316"/>
      <c r="B191" s="21" t="s">
        <v>123</v>
      </c>
      <c r="C191" s="331"/>
      <c r="D191" s="328"/>
      <c r="E191" s="393"/>
      <c r="F191" s="397"/>
      <c r="G191" s="285">
        <v>1081.5</v>
      </c>
      <c r="H191" s="285">
        <v>0</v>
      </c>
      <c r="I191" s="128"/>
      <c r="J191" s="128"/>
      <c r="K191" s="128"/>
      <c r="L191" s="285">
        <v>1081.5</v>
      </c>
      <c r="M191" s="128"/>
      <c r="N191" s="128"/>
      <c r="O191" s="128"/>
      <c r="P191" s="285">
        <v>0</v>
      </c>
      <c r="Q191" s="285">
        <v>0</v>
      </c>
      <c r="R191" s="285">
        <v>0</v>
      </c>
      <c r="S191" s="285">
        <v>0</v>
      </c>
      <c r="T191" s="285">
        <f t="shared" ref="T191:U192" si="148">H191+L191</f>
        <v>1081.5</v>
      </c>
      <c r="U191" s="285">
        <f>I191+M191+Q191</f>
        <v>0</v>
      </c>
      <c r="V191" s="285">
        <f t="shared" si="147"/>
        <v>0</v>
      </c>
      <c r="W191" s="285">
        <f t="shared" si="147"/>
        <v>0</v>
      </c>
      <c r="X191" s="285">
        <v>1081.5</v>
      </c>
      <c r="Y191" s="285"/>
      <c r="Z191" s="305"/>
    </row>
    <row r="192" spans="1:27">
      <c r="A192" s="316"/>
      <c r="B192" s="38" t="s">
        <v>25</v>
      </c>
      <c r="C192" s="331"/>
      <c r="D192" s="328"/>
      <c r="E192" s="393"/>
      <c r="F192" s="397"/>
      <c r="G192" s="287"/>
      <c r="H192" s="287"/>
      <c r="I192" s="130"/>
      <c r="J192" s="130"/>
      <c r="K192" s="130"/>
      <c r="L192" s="287"/>
      <c r="M192" s="130"/>
      <c r="N192" s="130"/>
      <c r="O192" s="130"/>
      <c r="P192" s="287"/>
      <c r="Q192" s="287"/>
      <c r="R192" s="287"/>
      <c r="S192" s="287"/>
      <c r="T192" s="287">
        <f t="shared" si="148"/>
        <v>0</v>
      </c>
      <c r="U192" s="287">
        <f t="shared" si="148"/>
        <v>0</v>
      </c>
      <c r="V192" s="287">
        <f t="shared" ref="V192" si="149">J192+N192</f>
        <v>0</v>
      </c>
      <c r="W192" s="287">
        <f t="shared" ref="W192" si="150">K192+O192</f>
        <v>0</v>
      </c>
      <c r="X192" s="287"/>
      <c r="Y192" s="287"/>
      <c r="Z192" s="305"/>
    </row>
    <row r="193" spans="1:26">
      <c r="A193" s="316"/>
      <c r="B193" s="22" t="s">
        <v>27</v>
      </c>
      <c r="C193" s="331"/>
      <c r="D193" s="328"/>
      <c r="E193" s="393"/>
      <c r="F193" s="397"/>
      <c r="G193" s="144">
        <v>0</v>
      </c>
      <c r="H193" s="130"/>
      <c r="I193" s="130"/>
      <c r="J193" s="130"/>
      <c r="K193" s="130"/>
      <c r="L193" s="134">
        <v>0</v>
      </c>
      <c r="M193" s="130"/>
      <c r="N193" s="130"/>
      <c r="O193" s="130"/>
      <c r="P193" s="240">
        <v>0</v>
      </c>
      <c r="Q193" s="233"/>
      <c r="R193" s="233"/>
      <c r="S193" s="233"/>
      <c r="T193" s="144">
        <f>H193+L193</f>
        <v>0</v>
      </c>
      <c r="U193" s="243">
        <f>I193+M193+Q193</f>
        <v>0</v>
      </c>
      <c r="V193" s="144">
        <f>J193+N193</f>
        <v>0</v>
      </c>
      <c r="W193" s="144">
        <f>K193+O193</f>
        <v>0</v>
      </c>
      <c r="X193" s="130"/>
      <c r="Y193" s="130"/>
      <c r="Z193" s="305"/>
    </row>
    <row r="194" spans="1:26">
      <c r="A194" s="316"/>
      <c r="B194" s="42" t="s">
        <v>37</v>
      </c>
      <c r="C194" s="331"/>
      <c r="D194" s="328"/>
      <c r="E194" s="393"/>
      <c r="F194" s="397"/>
      <c r="G194" s="145">
        <v>0</v>
      </c>
      <c r="H194" s="130"/>
      <c r="I194" s="130"/>
      <c r="J194" s="130"/>
      <c r="K194" s="130"/>
      <c r="L194" s="133">
        <v>0</v>
      </c>
      <c r="M194" s="130"/>
      <c r="N194" s="130"/>
      <c r="O194" s="130"/>
      <c r="P194" s="239">
        <v>0</v>
      </c>
      <c r="Q194" s="233"/>
      <c r="R194" s="233"/>
      <c r="S194" s="233"/>
      <c r="T194" s="145">
        <f t="shared" ref="T194:W200" si="151">H194+L194</f>
        <v>0</v>
      </c>
      <c r="U194" s="244">
        <f>I194+M194+Q194</f>
        <v>0</v>
      </c>
      <c r="V194" s="145">
        <f t="shared" si="151"/>
        <v>0</v>
      </c>
      <c r="W194" s="145">
        <f t="shared" si="151"/>
        <v>0</v>
      </c>
      <c r="X194" s="130"/>
      <c r="Y194" s="130"/>
      <c r="Z194" s="305"/>
    </row>
    <row r="195" spans="1:26">
      <c r="A195" s="316"/>
      <c r="B195" s="22" t="s">
        <v>28</v>
      </c>
      <c r="C195" s="331"/>
      <c r="D195" s="328"/>
      <c r="E195" s="393"/>
      <c r="F195" s="397"/>
      <c r="G195" s="144">
        <v>0</v>
      </c>
      <c r="H195" s="130"/>
      <c r="I195" s="130"/>
      <c r="J195" s="130"/>
      <c r="K195" s="130"/>
      <c r="L195" s="134">
        <v>0</v>
      </c>
      <c r="M195" s="130"/>
      <c r="N195" s="130"/>
      <c r="O195" s="130"/>
      <c r="P195" s="240">
        <v>0</v>
      </c>
      <c r="Q195" s="233"/>
      <c r="R195" s="233"/>
      <c r="S195" s="233"/>
      <c r="T195" s="144">
        <f t="shared" si="151"/>
        <v>0</v>
      </c>
      <c r="U195" s="243">
        <f>I195+M195+Q195</f>
        <v>0</v>
      </c>
      <c r="V195" s="144">
        <f t="shared" si="151"/>
        <v>0</v>
      </c>
      <c r="W195" s="144">
        <f t="shared" si="151"/>
        <v>0</v>
      </c>
      <c r="X195" s="130"/>
      <c r="Y195" s="130"/>
      <c r="Z195" s="305"/>
    </row>
    <row r="196" spans="1:26">
      <c r="A196" s="316"/>
      <c r="B196" s="42" t="s">
        <v>39</v>
      </c>
      <c r="C196" s="400"/>
      <c r="D196" s="393"/>
      <c r="E196" s="393"/>
      <c r="F196" s="398"/>
      <c r="G196" s="145">
        <v>0</v>
      </c>
      <c r="H196" s="134"/>
      <c r="I196" s="134"/>
      <c r="J196" s="134"/>
      <c r="K196" s="134"/>
      <c r="L196" s="133">
        <v>0</v>
      </c>
      <c r="M196" s="134"/>
      <c r="N196" s="134"/>
      <c r="O196" s="134"/>
      <c r="P196" s="239">
        <v>0</v>
      </c>
      <c r="Q196" s="240"/>
      <c r="R196" s="240"/>
      <c r="S196" s="240"/>
      <c r="T196" s="145">
        <f t="shared" si="151"/>
        <v>0</v>
      </c>
      <c r="U196" s="244">
        <f>I196+M196+Q196</f>
        <v>0</v>
      </c>
      <c r="V196" s="145">
        <f t="shared" si="151"/>
        <v>0</v>
      </c>
      <c r="W196" s="145">
        <f t="shared" si="151"/>
        <v>0</v>
      </c>
      <c r="X196" s="134"/>
      <c r="Y196" s="134"/>
      <c r="Z196" s="305"/>
    </row>
    <row r="197" spans="1:26">
      <c r="A197" s="316"/>
      <c r="B197" s="39" t="s">
        <v>30</v>
      </c>
      <c r="C197" s="400"/>
      <c r="D197" s="393"/>
      <c r="E197" s="393"/>
      <c r="F197" s="398"/>
      <c r="G197" s="145">
        <v>0</v>
      </c>
      <c r="H197" s="134"/>
      <c r="I197" s="134"/>
      <c r="J197" s="134"/>
      <c r="K197" s="134"/>
      <c r="L197" s="133">
        <v>0</v>
      </c>
      <c r="M197" s="134"/>
      <c r="N197" s="134"/>
      <c r="O197" s="134"/>
      <c r="P197" s="239">
        <v>0</v>
      </c>
      <c r="Q197" s="240"/>
      <c r="R197" s="240"/>
      <c r="S197" s="240"/>
      <c r="T197" s="145">
        <f t="shared" si="151"/>
        <v>0</v>
      </c>
      <c r="U197" s="244">
        <f t="shared" ref="U197:U198" si="152">I197+M197+Q197</f>
        <v>0</v>
      </c>
      <c r="V197" s="145">
        <f t="shared" si="151"/>
        <v>0</v>
      </c>
      <c r="W197" s="145">
        <f t="shared" si="151"/>
        <v>0</v>
      </c>
      <c r="X197" s="134"/>
      <c r="Y197" s="134"/>
      <c r="Z197" s="305"/>
    </row>
    <row r="198" spans="1:26">
      <c r="A198" s="316"/>
      <c r="B198" s="39" t="s">
        <v>31</v>
      </c>
      <c r="C198" s="400"/>
      <c r="D198" s="393"/>
      <c r="E198" s="393"/>
      <c r="F198" s="398"/>
      <c r="G198" s="145">
        <v>0</v>
      </c>
      <c r="H198" s="134"/>
      <c r="I198" s="134"/>
      <c r="J198" s="134"/>
      <c r="K198" s="134"/>
      <c r="L198" s="133">
        <v>0</v>
      </c>
      <c r="M198" s="134"/>
      <c r="N198" s="134"/>
      <c r="O198" s="134"/>
      <c r="P198" s="239">
        <v>0</v>
      </c>
      <c r="Q198" s="240"/>
      <c r="R198" s="240"/>
      <c r="S198" s="240"/>
      <c r="T198" s="145">
        <f t="shared" si="151"/>
        <v>0</v>
      </c>
      <c r="U198" s="244">
        <f t="shared" si="152"/>
        <v>0</v>
      </c>
      <c r="V198" s="145">
        <f t="shared" si="151"/>
        <v>0</v>
      </c>
      <c r="W198" s="145">
        <f t="shared" si="151"/>
        <v>0</v>
      </c>
      <c r="X198" s="134"/>
      <c r="Y198" s="134"/>
      <c r="Z198" s="305"/>
    </row>
    <row r="199" spans="1:26">
      <c r="A199" s="316"/>
      <c r="B199" s="22" t="s">
        <v>35</v>
      </c>
      <c r="C199" s="400"/>
      <c r="D199" s="393"/>
      <c r="E199" s="393"/>
      <c r="F199" s="398"/>
      <c r="G199" s="144">
        <v>0</v>
      </c>
      <c r="H199" s="134"/>
      <c r="I199" s="134"/>
      <c r="J199" s="134"/>
      <c r="K199" s="134"/>
      <c r="L199" s="134">
        <v>0</v>
      </c>
      <c r="M199" s="134"/>
      <c r="N199" s="134"/>
      <c r="O199" s="134"/>
      <c r="P199" s="240">
        <v>0</v>
      </c>
      <c r="Q199" s="240"/>
      <c r="R199" s="240"/>
      <c r="S199" s="240"/>
      <c r="T199" s="144">
        <f t="shared" si="151"/>
        <v>0</v>
      </c>
      <c r="U199" s="243">
        <f>I199+M199+Q199</f>
        <v>0</v>
      </c>
      <c r="V199" s="144">
        <f t="shared" si="151"/>
        <v>0</v>
      </c>
      <c r="W199" s="144">
        <f t="shared" si="151"/>
        <v>0</v>
      </c>
      <c r="X199" s="134"/>
      <c r="Y199" s="134"/>
      <c r="Z199" s="305"/>
    </row>
    <row r="200" spans="1:26">
      <c r="A200" s="317"/>
      <c r="B200" s="22" t="s">
        <v>36</v>
      </c>
      <c r="C200" s="401"/>
      <c r="D200" s="392"/>
      <c r="E200" s="392"/>
      <c r="F200" s="399"/>
      <c r="G200" s="144">
        <v>0</v>
      </c>
      <c r="H200" s="134"/>
      <c r="I200" s="134"/>
      <c r="J200" s="134"/>
      <c r="K200" s="134"/>
      <c r="L200" s="134">
        <v>0</v>
      </c>
      <c r="M200" s="134"/>
      <c r="N200" s="134"/>
      <c r="O200" s="134"/>
      <c r="P200" s="240">
        <v>0</v>
      </c>
      <c r="Q200" s="240"/>
      <c r="R200" s="240"/>
      <c r="S200" s="240"/>
      <c r="T200" s="144">
        <f t="shared" si="151"/>
        <v>0</v>
      </c>
      <c r="U200" s="243">
        <f>I200+M200+Q200</f>
        <v>0</v>
      </c>
      <c r="V200" s="144">
        <f t="shared" si="151"/>
        <v>0</v>
      </c>
      <c r="W200" s="144">
        <f t="shared" si="151"/>
        <v>0</v>
      </c>
      <c r="X200" s="134"/>
      <c r="Y200" s="134"/>
      <c r="Z200" s="306"/>
    </row>
    <row r="201" spans="1:26">
      <c r="A201" s="315" t="s">
        <v>85</v>
      </c>
      <c r="B201" s="15" t="s">
        <v>56</v>
      </c>
      <c r="C201" s="330" t="s">
        <v>41</v>
      </c>
      <c r="D201" s="327" t="s">
        <v>2</v>
      </c>
      <c r="E201" s="300">
        <v>30</v>
      </c>
      <c r="F201" s="396" t="s">
        <v>16</v>
      </c>
      <c r="G201" s="134">
        <f>SUM(G202:G206)</f>
        <v>10815</v>
      </c>
      <c r="H201" s="134">
        <f>SUM(H202:H206)</f>
        <v>0</v>
      </c>
      <c r="I201" s="25"/>
      <c r="J201" s="25"/>
      <c r="K201" s="25"/>
      <c r="L201" s="144">
        <f>SUM(L202:L206)</f>
        <v>0</v>
      </c>
      <c r="M201" s="25">
        <v>0</v>
      </c>
      <c r="N201" s="25">
        <v>0</v>
      </c>
      <c r="O201" s="25">
        <v>0</v>
      </c>
      <c r="P201" s="240">
        <f>SUM(P202:P206)</f>
        <v>0</v>
      </c>
      <c r="Q201" s="25">
        <v>0</v>
      </c>
      <c r="R201" s="25">
        <v>0</v>
      </c>
      <c r="S201" s="25">
        <v>0</v>
      </c>
      <c r="T201" s="24">
        <f>P201</f>
        <v>0</v>
      </c>
      <c r="U201" s="24">
        <f>I201+M201+Q201</f>
        <v>0</v>
      </c>
      <c r="V201" s="24">
        <f t="shared" ref="V201:W202" si="153">J201+N201+R201</f>
        <v>0</v>
      </c>
      <c r="W201" s="24">
        <f t="shared" si="153"/>
        <v>0</v>
      </c>
      <c r="X201" s="25"/>
      <c r="Y201" s="25"/>
      <c r="Z201" s="304"/>
    </row>
    <row r="202" spans="1:26">
      <c r="A202" s="316"/>
      <c r="B202" s="21" t="s">
        <v>123</v>
      </c>
      <c r="C202" s="331"/>
      <c r="D202" s="328"/>
      <c r="E202" s="393"/>
      <c r="F202" s="397"/>
      <c r="G202" s="285">
        <v>10815</v>
      </c>
      <c r="H202" s="285"/>
      <c r="I202" s="128"/>
      <c r="J202" s="128"/>
      <c r="K202" s="128"/>
      <c r="L202" s="285"/>
      <c r="M202" s="128"/>
      <c r="N202" s="128"/>
      <c r="O202" s="128"/>
      <c r="P202" s="285">
        <v>0</v>
      </c>
      <c r="Q202" s="285">
        <v>0</v>
      </c>
      <c r="R202" s="285">
        <v>0</v>
      </c>
      <c r="S202" s="285">
        <v>0</v>
      </c>
      <c r="T202" s="285">
        <f>H202+L202+P202</f>
        <v>0</v>
      </c>
      <c r="U202" s="285">
        <f>I202+M202+Q202</f>
        <v>0</v>
      </c>
      <c r="V202" s="285">
        <f t="shared" si="153"/>
        <v>0</v>
      </c>
      <c r="W202" s="285">
        <f t="shared" si="153"/>
        <v>0</v>
      </c>
      <c r="X202" s="285"/>
      <c r="Y202" s="285">
        <v>10815</v>
      </c>
      <c r="Z202" s="305"/>
    </row>
    <row r="203" spans="1:26">
      <c r="A203" s="316"/>
      <c r="B203" s="38" t="s">
        <v>25</v>
      </c>
      <c r="C203" s="331"/>
      <c r="D203" s="328"/>
      <c r="E203" s="393"/>
      <c r="F203" s="397"/>
      <c r="G203" s="287"/>
      <c r="H203" s="287"/>
      <c r="I203" s="130"/>
      <c r="J203" s="130"/>
      <c r="K203" s="130"/>
      <c r="L203" s="287"/>
      <c r="M203" s="130"/>
      <c r="N203" s="130"/>
      <c r="O203" s="130"/>
      <c r="P203" s="287"/>
      <c r="Q203" s="287"/>
      <c r="R203" s="287"/>
      <c r="S203" s="287"/>
      <c r="T203" s="287">
        <f t="shared" ref="T203:U203" si="154">H203+L203</f>
        <v>0</v>
      </c>
      <c r="U203" s="287">
        <f t="shared" si="154"/>
        <v>0</v>
      </c>
      <c r="V203" s="287">
        <f t="shared" ref="V203" si="155">J203+N203</f>
        <v>0</v>
      </c>
      <c r="W203" s="287">
        <f t="shared" ref="W203" si="156">K203+O203</f>
        <v>0</v>
      </c>
      <c r="X203" s="287"/>
      <c r="Y203" s="287"/>
      <c r="Z203" s="305"/>
    </row>
    <row r="204" spans="1:26">
      <c r="A204" s="316"/>
      <c r="B204" s="22" t="s">
        <v>27</v>
      </c>
      <c r="C204" s="331"/>
      <c r="D204" s="328"/>
      <c r="E204" s="393"/>
      <c r="F204" s="397"/>
      <c r="G204" s="134">
        <v>0</v>
      </c>
      <c r="H204" s="133"/>
      <c r="I204" s="133"/>
      <c r="J204" s="133"/>
      <c r="K204" s="133"/>
      <c r="L204" s="134">
        <v>0</v>
      </c>
      <c r="M204" s="133"/>
      <c r="N204" s="133"/>
      <c r="O204" s="133"/>
      <c r="P204" s="240">
        <v>0</v>
      </c>
      <c r="Q204" s="239"/>
      <c r="R204" s="239"/>
      <c r="S204" s="239"/>
      <c r="T204" s="144">
        <f>H204+L204</f>
        <v>0</v>
      </c>
      <c r="U204" s="243">
        <f>I204+M204+Q204</f>
        <v>0</v>
      </c>
      <c r="V204" s="144">
        <f>J204+N204</f>
        <v>0</v>
      </c>
      <c r="W204" s="144">
        <f>K204+O204</f>
        <v>0</v>
      </c>
      <c r="X204" s="134"/>
      <c r="Y204" s="134"/>
      <c r="Z204" s="305"/>
    </row>
    <row r="205" spans="1:26">
      <c r="A205" s="316"/>
      <c r="B205" s="42" t="s">
        <v>37</v>
      </c>
      <c r="C205" s="331"/>
      <c r="D205" s="328"/>
      <c r="E205" s="393"/>
      <c r="F205" s="397"/>
      <c r="G205" s="133">
        <v>0</v>
      </c>
      <c r="H205" s="133"/>
      <c r="I205" s="133"/>
      <c r="J205" s="133"/>
      <c r="K205" s="133"/>
      <c r="L205" s="133">
        <v>0</v>
      </c>
      <c r="M205" s="133"/>
      <c r="N205" s="133"/>
      <c r="O205" s="133"/>
      <c r="P205" s="239">
        <v>0</v>
      </c>
      <c r="Q205" s="239"/>
      <c r="R205" s="239"/>
      <c r="S205" s="239"/>
      <c r="T205" s="145">
        <f t="shared" ref="T205:W211" si="157">H205+L205</f>
        <v>0</v>
      </c>
      <c r="U205" s="244">
        <f>I205+M205+Q205</f>
        <v>0</v>
      </c>
      <c r="V205" s="145">
        <f t="shared" si="157"/>
        <v>0</v>
      </c>
      <c r="W205" s="145">
        <f t="shared" si="157"/>
        <v>0</v>
      </c>
      <c r="X205" s="134"/>
      <c r="Y205" s="134"/>
      <c r="Z205" s="305"/>
    </row>
    <row r="206" spans="1:26">
      <c r="A206" s="316"/>
      <c r="B206" s="22" t="s">
        <v>28</v>
      </c>
      <c r="C206" s="331"/>
      <c r="D206" s="328"/>
      <c r="E206" s="393"/>
      <c r="F206" s="397"/>
      <c r="G206" s="134">
        <v>0</v>
      </c>
      <c r="H206" s="133"/>
      <c r="I206" s="133"/>
      <c r="J206" s="133"/>
      <c r="K206" s="133"/>
      <c r="L206" s="134">
        <v>0</v>
      </c>
      <c r="M206" s="133"/>
      <c r="N206" s="133"/>
      <c r="O206" s="133"/>
      <c r="P206" s="240">
        <v>0</v>
      </c>
      <c r="Q206" s="239"/>
      <c r="R206" s="239"/>
      <c r="S206" s="239"/>
      <c r="T206" s="144">
        <f t="shared" si="157"/>
        <v>0</v>
      </c>
      <c r="U206" s="243">
        <f>I206+M206+Q206</f>
        <v>0</v>
      </c>
      <c r="V206" s="144">
        <f t="shared" si="157"/>
        <v>0</v>
      </c>
      <c r="W206" s="144">
        <f t="shared" si="157"/>
        <v>0</v>
      </c>
      <c r="X206" s="134"/>
      <c r="Y206" s="134"/>
      <c r="Z206" s="305"/>
    </row>
    <row r="207" spans="1:26">
      <c r="A207" s="316"/>
      <c r="B207" s="42" t="s">
        <v>39</v>
      </c>
      <c r="C207" s="400"/>
      <c r="D207" s="393"/>
      <c r="E207" s="393"/>
      <c r="F207" s="398"/>
      <c r="G207" s="133">
        <v>0</v>
      </c>
      <c r="H207" s="133"/>
      <c r="I207" s="133"/>
      <c r="J207" s="133"/>
      <c r="K207" s="133"/>
      <c r="L207" s="133">
        <v>0</v>
      </c>
      <c r="M207" s="133"/>
      <c r="N207" s="133"/>
      <c r="O207" s="133"/>
      <c r="P207" s="239">
        <v>0</v>
      </c>
      <c r="Q207" s="239"/>
      <c r="R207" s="239"/>
      <c r="S207" s="239"/>
      <c r="T207" s="145">
        <f t="shared" si="157"/>
        <v>0</v>
      </c>
      <c r="U207" s="244">
        <f>I207+M207+Q207</f>
        <v>0</v>
      </c>
      <c r="V207" s="145">
        <f t="shared" si="157"/>
        <v>0</v>
      </c>
      <c r="W207" s="145">
        <f t="shared" si="157"/>
        <v>0</v>
      </c>
      <c r="X207" s="134"/>
      <c r="Y207" s="134"/>
      <c r="Z207" s="305"/>
    </row>
    <row r="208" spans="1:26">
      <c r="A208" s="316"/>
      <c r="B208" s="39" t="s">
        <v>30</v>
      </c>
      <c r="C208" s="400"/>
      <c r="D208" s="393"/>
      <c r="E208" s="393"/>
      <c r="F208" s="398"/>
      <c r="G208" s="133">
        <v>0</v>
      </c>
      <c r="H208" s="133"/>
      <c r="I208" s="133"/>
      <c r="J208" s="133"/>
      <c r="K208" s="133"/>
      <c r="L208" s="133">
        <v>0</v>
      </c>
      <c r="M208" s="133"/>
      <c r="N208" s="133"/>
      <c r="O208" s="133"/>
      <c r="P208" s="239">
        <v>0</v>
      </c>
      <c r="Q208" s="239"/>
      <c r="R208" s="239"/>
      <c r="S208" s="239"/>
      <c r="T208" s="145">
        <f t="shared" si="157"/>
        <v>0</v>
      </c>
      <c r="U208" s="244">
        <f t="shared" ref="U208:U209" si="158">I208+M208+Q208</f>
        <v>0</v>
      </c>
      <c r="V208" s="145">
        <f t="shared" si="157"/>
        <v>0</v>
      </c>
      <c r="W208" s="145">
        <f t="shared" si="157"/>
        <v>0</v>
      </c>
      <c r="X208" s="134"/>
      <c r="Y208" s="134"/>
      <c r="Z208" s="305"/>
    </row>
    <row r="209" spans="1:26">
      <c r="A209" s="316"/>
      <c r="B209" s="39" t="s">
        <v>31</v>
      </c>
      <c r="C209" s="400"/>
      <c r="D209" s="393"/>
      <c r="E209" s="393"/>
      <c r="F209" s="398"/>
      <c r="G209" s="133">
        <v>0</v>
      </c>
      <c r="H209" s="133"/>
      <c r="I209" s="133"/>
      <c r="J209" s="133"/>
      <c r="K209" s="133"/>
      <c r="L209" s="133">
        <v>0</v>
      </c>
      <c r="M209" s="133"/>
      <c r="N209" s="133"/>
      <c r="O209" s="133"/>
      <c r="P209" s="239">
        <v>0</v>
      </c>
      <c r="Q209" s="239"/>
      <c r="R209" s="239"/>
      <c r="S209" s="239"/>
      <c r="T209" s="145">
        <f t="shared" si="157"/>
        <v>0</v>
      </c>
      <c r="U209" s="244">
        <f t="shared" si="158"/>
        <v>0</v>
      </c>
      <c r="V209" s="145">
        <f t="shared" si="157"/>
        <v>0</v>
      </c>
      <c r="W209" s="145">
        <f t="shared" si="157"/>
        <v>0</v>
      </c>
      <c r="X209" s="134"/>
      <c r="Y209" s="134"/>
      <c r="Z209" s="305"/>
    </row>
    <row r="210" spans="1:26">
      <c r="A210" s="316"/>
      <c r="B210" s="22" t="s">
        <v>35</v>
      </c>
      <c r="C210" s="400"/>
      <c r="D210" s="393"/>
      <c r="E210" s="393"/>
      <c r="F210" s="398"/>
      <c r="G210" s="134">
        <v>0</v>
      </c>
      <c r="H210" s="133"/>
      <c r="I210" s="133"/>
      <c r="J210" s="133"/>
      <c r="K210" s="133"/>
      <c r="L210" s="134">
        <v>0</v>
      </c>
      <c r="M210" s="133"/>
      <c r="N210" s="133"/>
      <c r="O210" s="133"/>
      <c r="P210" s="240">
        <v>0</v>
      </c>
      <c r="Q210" s="239"/>
      <c r="R210" s="239"/>
      <c r="S210" s="239"/>
      <c r="T210" s="144">
        <f t="shared" si="157"/>
        <v>0</v>
      </c>
      <c r="U210" s="243">
        <f>I210+M210+Q210</f>
        <v>0</v>
      </c>
      <c r="V210" s="144">
        <f t="shared" si="157"/>
        <v>0</v>
      </c>
      <c r="W210" s="144">
        <f t="shared" si="157"/>
        <v>0</v>
      </c>
      <c r="X210" s="134"/>
      <c r="Y210" s="134"/>
      <c r="Z210" s="305"/>
    </row>
    <row r="211" spans="1:26">
      <c r="A211" s="316"/>
      <c r="B211" s="22" t="s">
        <v>36</v>
      </c>
      <c r="C211" s="401"/>
      <c r="D211" s="392"/>
      <c r="E211" s="392"/>
      <c r="F211" s="399"/>
      <c r="G211" s="134">
        <v>0</v>
      </c>
      <c r="H211" s="133"/>
      <c r="I211" s="133"/>
      <c r="J211" s="133"/>
      <c r="K211" s="133"/>
      <c r="L211" s="134">
        <v>0</v>
      </c>
      <c r="M211" s="133"/>
      <c r="N211" s="133"/>
      <c r="O211" s="133"/>
      <c r="P211" s="240">
        <v>0</v>
      </c>
      <c r="Q211" s="239"/>
      <c r="R211" s="239"/>
      <c r="S211" s="239"/>
      <c r="T211" s="144">
        <f t="shared" si="157"/>
        <v>0</v>
      </c>
      <c r="U211" s="243">
        <f>I211+M211+Q211</f>
        <v>0</v>
      </c>
      <c r="V211" s="144">
        <f t="shared" si="157"/>
        <v>0</v>
      </c>
      <c r="W211" s="144">
        <f t="shared" si="157"/>
        <v>0</v>
      </c>
      <c r="X211" s="134"/>
      <c r="Y211" s="134"/>
      <c r="Z211" s="306"/>
    </row>
    <row r="212" spans="1:26" ht="12.75" hidden="1" customHeight="1">
      <c r="A212" s="315" t="s">
        <v>86</v>
      </c>
      <c r="B212" s="51"/>
      <c r="C212" s="330" t="s">
        <v>41</v>
      </c>
      <c r="D212" s="327" t="s">
        <v>120</v>
      </c>
      <c r="E212" s="300"/>
      <c r="F212" s="324"/>
      <c r="G212" s="24">
        <f>G213+G215+G217+G221+G222</f>
        <v>0</v>
      </c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329"/>
    </row>
    <row r="213" spans="1:26" ht="12.75" hidden="1" customHeight="1">
      <c r="A213" s="316"/>
      <c r="B213" s="21" t="s">
        <v>123</v>
      </c>
      <c r="C213" s="331"/>
      <c r="D213" s="376"/>
      <c r="E213" s="366"/>
      <c r="F213" s="325"/>
      <c r="G213" s="285">
        <f>SUM(H213:Y213)</f>
        <v>0</v>
      </c>
      <c r="H213" s="285"/>
      <c r="I213" s="128"/>
      <c r="J213" s="128"/>
      <c r="K213" s="128"/>
      <c r="L213" s="128"/>
      <c r="M213" s="128"/>
      <c r="N213" s="128"/>
      <c r="O213" s="128"/>
      <c r="P213" s="231"/>
      <c r="Q213" s="231"/>
      <c r="R213" s="231"/>
      <c r="S213" s="231"/>
      <c r="T213" s="128"/>
      <c r="U213" s="137"/>
      <c r="V213" s="137"/>
      <c r="W213" s="137"/>
      <c r="X213" s="285"/>
      <c r="Y213" s="285"/>
      <c r="Z213" s="328"/>
    </row>
    <row r="214" spans="1:26" ht="12.75" hidden="1" customHeight="1">
      <c r="A214" s="316"/>
      <c r="B214" s="38" t="s">
        <v>25</v>
      </c>
      <c r="C214" s="331"/>
      <c r="D214" s="376"/>
      <c r="E214" s="366"/>
      <c r="F214" s="325"/>
      <c r="G214" s="287"/>
      <c r="H214" s="287"/>
      <c r="I214" s="130"/>
      <c r="J214" s="130"/>
      <c r="K214" s="130"/>
      <c r="L214" s="130"/>
      <c r="M214" s="130"/>
      <c r="N214" s="130"/>
      <c r="O214" s="130"/>
      <c r="P214" s="233"/>
      <c r="Q214" s="233"/>
      <c r="R214" s="233"/>
      <c r="S214" s="233"/>
      <c r="T214" s="130"/>
      <c r="U214" s="138"/>
      <c r="V214" s="138"/>
      <c r="W214" s="138"/>
      <c r="X214" s="287"/>
      <c r="Y214" s="287"/>
      <c r="Z214" s="328"/>
    </row>
    <row r="215" spans="1:26" ht="12.75" hidden="1" customHeight="1">
      <c r="A215" s="316"/>
      <c r="B215" s="22" t="s">
        <v>27</v>
      </c>
      <c r="C215" s="331"/>
      <c r="D215" s="376"/>
      <c r="E215" s="366"/>
      <c r="F215" s="325"/>
      <c r="G215" s="134">
        <f>SUM(G216)</f>
        <v>0</v>
      </c>
      <c r="H215" s="130"/>
      <c r="I215" s="130"/>
      <c r="J215" s="130"/>
      <c r="K215" s="130"/>
      <c r="L215" s="130"/>
      <c r="M215" s="130"/>
      <c r="N215" s="130"/>
      <c r="O215" s="130"/>
      <c r="P215" s="233"/>
      <c r="Q215" s="233"/>
      <c r="R215" s="233"/>
      <c r="S215" s="233"/>
      <c r="T215" s="130"/>
      <c r="U215" s="138"/>
      <c r="V215" s="138"/>
      <c r="W215" s="138"/>
      <c r="X215" s="130"/>
      <c r="Y215" s="130"/>
      <c r="Z215" s="328"/>
    </row>
    <row r="216" spans="1:26" ht="12.75" hidden="1" customHeight="1">
      <c r="A216" s="316"/>
      <c r="B216" s="42" t="s">
        <v>37</v>
      </c>
      <c r="C216" s="331"/>
      <c r="D216" s="376"/>
      <c r="E216" s="366"/>
      <c r="F216" s="325"/>
      <c r="G216" s="133">
        <f>SUM(H216:Y216)</f>
        <v>0</v>
      </c>
      <c r="H216" s="130"/>
      <c r="I216" s="130"/>
      <c r="J216" s="130"/>
      <c r="K216" s="130"/>
      <c r="L216" s="130"/>
      <c r="M216" s="130"/>
      <c r="N216" s="130"/>
      <c r="O216" s="130"/>
      <c r="P216" s="233"/>
      <c r="Q216" s="233"/>
      <c r="R216" s="233"/>
      <c r="S216" s="233"/>
      <c r="T216" s="130"/>
      <c r="U216" s="138"/>
      <c r="V216" s="138"/>
      <c r="W216" s="138"/>
      <c r="X216" s="130"/>
      <c r="Y216" s="130"/>
      <c r="Z216" s="328"/>
    </row>
    <row r="217" spans="1:26" ht="12.75" hidden="1" customHeight="1">
      <c r="A217" s="316"/>
      <c r="B217" s="22" t="s">
        <v>28</v>
      </c>
      <c r="C217" s="331"/>
      <c r="D217" s="376"/>
      <c r="E217" s="366"/>
      <c r="F217" s="325"/>
      <c r="G217" s="134">
        <f>SUM(G218:G220)</f>
        <v>0</v>
      </c>
      <c r="H217" s="130"/>
      <c r="I217" s="130"/>
      <c r="J217" s="130"/>
      <c r="K217" s="130"/>
      <c r="L217" s="130"/>
      <c r="M217" s="130"/>
      <c r="N217" s="130"/>
      <c r="O217" s="130"/>
      <c r="P217" s="233"/>
      <c r="Q217" s="233"/>
      <c r="R217" s="233"/>
      <c r="S217" s="233"/>
      <c r="T217" s="130"/>
      <c r="U217" s="138"/>
      <c r="V217" s="138"/>
      <c r="W217" s="138"/>
      <c r="X217" s="130"/>
      <c r="Y217" s="130"/>
      <c r="Z217" s="328"/>
    </row>
    <row r="218" spans="1:26" ht="12.75" hidden="1" customHeight="1">
      <c r="A218" s="316"/>
      <c r="B218" s="42" t="s">
        <v>39</v>
      </c>
      <c r="C218" s="331"/>
      <c r="D218" s="376"/>
      <c r="E218" s="366"/>
      <c r="F218" s="325"/>
      <c r="G218" s="133">
        <f>SUM(H218:Y218)</f>
        <v>0</v>
      </c>
      <c r="H218" s="134"/>
      <c r="I218" s="134"/>
      <c r="J218" s="134"/>
      <c r="K218" s="134"/>
      <c r="L218" s="134"/>
      <c r="M218" s="134"/>
      <c r="N218" s="134"/>
      <c r="O218" s="134"/>
      <c r="P218" s="240"/>
      <c r="Q218" s="240"/>
      <c r="R218" s="240"/>
      <c r="S218" s="240"/>
      <c r="T218" s="134"/>
      <c r="U218" s="144"/>
      <c r="V218" s="144"/>
      <c r="W218" s="144"/>
      <c r="X218" s="134"/>
      <c r="Y218" s="134"/>
      <c r="Z218" s="328"/>
    </row>
    <row r="219" spans="1:26" ht="12.75" hidden="1" customHeight="1">
      <c r="A219" s="316"/>
      <c r="B219" s="39" t="s">
        <v>30</v>
      </c>
      <c r="C219" s="331"/>
      <c r="D219" s="376"/>
      <c r="E219" s="366"/>
      <c r="F219" s="325"/>
      <c r="G219" s="133">
        <f>SUM(H219:Y219)</f>
        <v>0</v>
      </c>
      <c r="H219" s="134"/>
      <c r="I219" s="134"/>
      <c r="J219" s="134"/>
      <c r="K219" s="134"/>
      <c r="L219" s="134"/>
      <c r="M219" s="134"/>
      <c r="N219" s="134"/>
      <c r="O219" s="134"/>
      <c r="P219" s="240"/>
      <c r="Q219" s="240"/>
      <c r="R219" s="240"/>
      <c r="S219" s="240"/>
      <c r="T219" s="134"/>
      <c r="U219" s="144"/>
      <c r="V219" s="144"/>
      <c r="W219" s="144"/>
      <c r="X219" s="134"/>
      <c r="Y219" s="134"/>
      <c r="Z219" s="328"/>
    </row>
    <row r="220" spans="1:26" ht="12.75" hidden="1" customHeight="1">
      <c r="A220" s="316"/>
      <c r="B220" s="39" t="s">
        <v>31</v>
      </c>
      <c r="C220" s="331"/>
      <c r="D220" s="376"/>
      <c r="E220" s="366"/>
      <c r="F220" s="325"/>
      <c r="G220" s="133">
        <f>SUM(H220:Y220)</f>
        <v>0</v>
      </c>
      <c r="H220" s="134"/>
      <c r="I220" s="134"/>
      <c r="J220" s="134"/>
      <c r="K220" s="134"/>
      <c r="L220" s="134"/>
      <c r="M220" s="134"/>
      <c r="N220" s="134"/>
      <c r="O220" s="134"/>
      <c r="P220" s="240"/>
      <c r="Q220" s="240"/>
      <c r="R220" s="240"/>
      <c r="S220" s="240"/>
      <c r="T220" s="134"/>
      <c r="U220" s="144"/>
      <c r="V220" s="144"/>
      <c r="W220" s="144"/>
      <c r="X220" s="134"/>
      <c r="Y220" s="134"/>
      <c r="Z220" s="328"/>
    </row>
    <row r="221" spans="1:26" ht="12.75" hidden="1" customHeight="1">
      <c r="A221" s="316"/>
      <c r="B221" s="22" t="s">
        <v>35</v>
      </c>
      <c r="C221" s="331"/>
      <c r="D221" s="376"/>
      <c r="E221" s="366"/>
      <c r="F221" s="325"/>
      <c r="G221" s="134">
        <f>SUM(H221:Y221)</f>
        <v>0</v>
      </c>
      <c r="H221" s="134"/>
      <c r="I221" s="134"/>
      <c r="J221" s="134"/>
      <c r="K221" s="134"/>
      <c r="L221" s="134"/>
      <c r="M221" s="134"/>
      <c r="N221" s="134"/>
      <c r="O221" s="134"/>
      <c r="P221" s="240"/>
      <c r="Q221" s="240"/>
      <c r="R221" s="240"/>
      <c r="S221" s="240"/>
      <c r="T221" s="134"/>
      <c r="U221" s="144"/>
      <c r="V221" s="144"/>
      <c r="W221" s="144"/>
      <c r="X221" s="134"/>
      <c r="Y221" s="134"/>
      <c r="Z221" s="328"/>
    </row>
    <row r="222" spans="1:26" ht="12.75" hidden="1" customHeight="1">
      <c r="A222" s="316"/>
      <c r="B222" s="22" t="s">
        <v>36</v>
      </c>
      <c r="C222" s="353"/>
      <c r="D222" s="377"/>
      <c r="E222" s="367"/>
      <c r="F222" s="365"/>
      <c r="G222" s="134">
        <f>SUM(H222:Y222)</f>
        <v>0</v>
      </c>
      <c r="H222" s="134"/>
      <c r="I222" s="134"/>
      <c r="J222" s="134"/>
      <c r="K222" s="134"/>
      <c r="L222" s="134"/>
      <c r="M222" s="134"/>
      <c r="N222" s="134"/>
      <c r="O222" s="134"/>
      <c r="P222" s="240"/>
      <c r="Q222" s="240"/>
      <c r="R222" s="240"/>
      <c r="S222" s="240"/>
      <c r="T222" s="134"/>
      <c r="U222" s="144"/>
      <c r="V222" s="144"/>
      <c r="W222" s="144"/>
      <c r="X222" s="134"/>
      <c r="Y222" s="134"/>
      <c r="Z222" s="342"/>
    </row>
    <row r="223" spans="1:26" ht="12.75" hidden="1" customHeight="1">
      <c r="A223" s="315" t="s">
        <v>71</v>
      </c>
      <c r="B223" s="34"/>
      <c r="C223" s="330" t="s">
        <v>41</v>
      </c>
      <c r="D223" s="327" t="s">
        <v>120</v>
      </c>
      <c r="E223" s="300"/>
      <c r="F223" s="324"/>
      <c r="G223" s="24">
        <f>G224+G226+G228+G232+G233</f>
        <v>0</v>
      </c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329"/>
    </row>
    <row r="224" spans="1:26" ht="12.75" hidden="1" customHeight="1">
      <c r="A224" s="316"/>
      <c r="B224" s="21" t="s">
        <v>123</v>
      </c>
      <c r="C224" s="331"/>
      <c r="D224" s="376"/>
      <c r="E224" s="366"/>
      <c r="F224" s="325"/>
      <c r="G224" s="285">
        <f>SUM(H224:Y224)</f>
        <v>0</v>
      </c>
      <c r="H224" s="285"/>
      <c r="I224" s="128"/>
      <c r="J224" s="128"/>
      <c r="K224" s="128"/>
      <c r="L224" s="128"/>
      <c r="M224" s="128"/>
      <c r="N224" s="128"/>
      <c r="O224" s="128"/>
      <c r="P224" s="231"/>
      <c r="Q224" s="231"/>
      <c r="R224" s="231"/>
      <c r="S224" s="231"/>
      <c r="T224" s="128"/>
      <c r="U224" s="137"/>
      <c r="V224" s="137"/>
      <c r="W224" s="137"/>
      <c r="X224" s="285"/>
      <c r="Y224" s="285"/>
      <c r="Z224" s="328"/>
    </row>
    <row r="225" spans="1:26" ht="12.75" hidden="1" customHeight="1">
      <c r="A225" s="316"/>
      <c r="B225" s="38" t="s">
        <v>25</v>
      </c>
      <c r="C225" s="331"/>
      <c r="D225" s="376"/>
      <c r="E225" s="366"/>
      <c r="F225" s="325"/>
      <c r="G225" s="287"/>
      <c r="H225" s="287"/>
      <c r="I225" s="130"/>
      <c r="J225" s="130"/>
      <c r="K225" s="130"/>
      <c r="L225" s="130"/>
      <c r="M225" s="130"/>
      <c r="N225" s="130"/>
      <c r="O225" s="130"/>
      <c r="P225" s="233"/>
      <c r="Q225" s="233"/>
      <c r="R225" s="233"/>
      <c r="S225" s="233"/>
      <c r="T225" s="130"/>
      <c r="U225" s="138"/>
      <c r="V225" s="138"/>
      <c r="W225" s="138"/>
      <c r="X225" s="287"/>
      <c r="Y225" s="287"/>
      <c r="Z225" s="328"/>
    </row>
    <row r="226" spans="1:26" ht="12.75" hidden="1" customHeight="1">
      <c r="A226" s="316"/>
      <c r="B226" s="22" t="s">
        <v>27</v>
      </c>
      <c r="C226" s="331"/>
      <c r="D226" s="376"/>
      <c r="E226" s="366"/>
      <c r="F226" s="325"/>
      <c r="G226" s="134">
        <f>SUM(G227)</f>
        <v>0</v>
      </c>
      <c r="H226" s="130"/>
      <c r="I226" s="130"/>
      <c r="J226" s="130"/>
      <c r="K226" s="130"/>
      <c r="L226" s="130"/>
      <c r="M226" s="130"/>
      <c r="N226" s="130"/>
      <c r="O226" s="130"/>
      <c r="P226" s="233"/>
      <c r="Q226" s="233"/>
      <c r="R226" s="233"/>
      <c r="S226" s="233"/>
      <c r="T226" s="130"/>
      <c r="U226" s="138"/>
      <c r="V226" s="138"/>
      <c r="W226" s="138"/>
      <c r="X226" s="130"/>
      <c r="Y226" s="130"/>
      <c r="Z226" s="328"/>
    </row>
    <row r="227" spans="1:26" ht="12.75" hidden="1" customHeight="1">
      <c r="A227" s="316"/>
      <c r="B227" s="42" t="s">
        <v>37</v>
      </c>
      <c r="C227" s="331"/>
      <c r="D227" s="376"/>
      <c r="E227" s="366"/>
      <c r="F227" s="325"/>
      <c r="G227" s="133">
        <f>SUM(H227:Y227)</f>
        <v>0</v>
      </c>
      <c r="H227" s="130"/>
      <c r="I227" s="130"/>
      <c r="J227" s="130"/>
      <c r="K227" s="130"/>
      <c r="L227" s="130"/>
      <c r="M227" s="130"/>
      <c r="N227" s="130"/>
      <c r="O227" s="130"/>
      <c r="P227" s="233"/>
      <c r="Q227" s="233"/>
      <c r="R227" s="233"/>
      <c r="S227" s="233"/>
      <c r="T227" s="130"/>
      <c r="U227" s="138"/>
      <c r="V227" s="138"/>
      <c r="W227" s="138"/>
      <c r="X227" s="130"/>
      <c r="Y227" s="130"/>
      <c r="Z227" s="328"/>
    </row>
    <row r="228" spans="1:26" ht="12.75" hidden="1" customHeight="1">
      <c r="A228" s="316"/>
      <c r="B228" s="22" t="s">
        <v>28</v>
      </c>
      <c r="C228" s="331"/>
      <c r="D228" s="376"/>
      <c r="E228" s="366"/>
      <c r="F228" s="325"/>
      <c r="G228" s="134">
        <f>SUM(G229:G231)</f>
        <v>0</v>
      </c>
      <c r="H228" s="130"/>
      <c r="I228" s="130"/>
      <c r="J228" s="130"/>
      <c r="K228" s="130"/>
      <c r="L228" s="130"/>
      <c r="M228" s="130"/>
      <c r="N228" s="130"/>
      <c r="O228" s="130"/>
      <c r="P228" s="233"/>
      <c r="Q228" s="233"/>
      <c r="R228" s="233"/>
      <c r="S228" s="233"/>
      <c r="T228" s="130"/>
      <c r="U228" s="138"/>
      <c r="V228" s="138"/>
      <c r="W228" s="138"/>
      <c r="X228" s="130"/>
      <c r="Y228" s="130"/>
      <c r="Z228" s="328"/>
    </row>
    <row r="229" spans="1:26" ht="12.75" hidden="1" customHeight="1">
      <c r="A229" s="316"/>
      <c r="B229" s="42" t="s">
        <v>39</v>
      </c>
      <c r="C229" s="331"/>
      <c r="D229" s="376"/>
      <c r="E229" s="366"/>
      <c r="F229" s="325"/>
      <c r="G229" s="133">
        <f>SUM(H229:Y229)</f>
        <v>0</v>
      </c>
      <c r="H229" s="134"/>
      <c r="I229" s="134"/>
      <c r="J229" s="134"/>
      <c r="K229" s="134"/>
      <c r="L229" s="134"/>
      <c r="M229" s="134"/>
      <c r="N229" s="134"/>
      <c r="O229" s="134"/>
      <c r="P229" s="240"/>
      <c r="Q229" s="240"/>
      <c r="R229" s="240"/>
      <c r="S229" s="240"/>
      <c r="T229" s="134"/>
      <c r="U229" s="144"/>
      <c r="V229" s="144"/>
      <c r="W229" s="144"/>
      <c r="X229" s="134"/>
      <c r="Y229" s="134"/>
      <c r="Z229" s="328"/>
    </row>
    <row r="230" spans="1:26" ht="12.75" hidden="1" customHeight="1">
      <c r="A230" s="316"/>
      <c r="B230" s="39" t="s">
        <v>30</v>
      </c>
      <c r="C230" s="331"/>
      <c r="D230" s="376"/>
      <c r="E230" s="366"/>
      <c r="F230" s="325"/>
      <c r="G230" s="133">
        <f>SUM(H230:Y230)</f>
        <v>0</v>
      </c>
      <c r="H230" s="134"/>
      <c r="I230" s="134"/>
      <c r="J230" s="134"/>
      <c r="K230" s="134"/>
      <c r="L230" s="134"/>
      <c r="M230" s="134"/>
      <c r="N230" s="134"/>
      <c r="O230" s="134"/>
      <c r="P230" s="240"/>
      <c r="Q230" s="240"/>
      <c r="R230" s="240"/>
      <c r="S230" s="240"/>
      <c r="T230" s="134"/>
      <c r="U230" s="144"/>
      <c r="V230" s="144"/>
      <c r="W230" s="144"/>
      <c r="X230" s="134"/>
      <c r="Y230" s="134"/>
      <c r="Z230" s="328"/>
    </row>
    <row r="231" spans="1:26" ht="12.75" hidden="1" customHeight="1">
      <c r="A231" s="316"/>
      <c r="B231" s="39" t="s">
        <v>31</v>
      </c>
      <c r="C231" s="331"/>
      <c r="D231" s="376"/>
      <c r="E231" s="366"/>
      <c r="F231" s="325"/>
      <c r="G231" s="133">
        <f>SUM(H231:Y231)</f>
        <v>0</v>
      </c>
      <c r="H231" s="134"/>
      <c r="I231" s="134"/>
      <c r="J231" s="134"/>
      <c r="K231" s="134"/>
      <c r="L231" s="134"/>
      <c r="M231" s="134"/>
      <c r="N231" s="134"/>
      <c r="O231" s="134"/>
      <c r="P231" s="240"/>
      <c r="Q231" s="240"/>
      <c r="R231" s="240"/>
      <c r="S231" s="240"/>
      <c r="T231" s="134"/>
      <c r="U231" s="144"/>
      <c r="V231" s="144"/>
      <c r="W231" s="144"/>
      <c r="X231" s="134"/>
      <c r="Y231" s="134"/>
      <c r="Z231" s="328"/>
    </row>
    <row r="232" spans="1:26" ht="12.75" hidden="1" customHeight="1">
      <c r="A232" s="316"/>
      <c r="B232" s="22" t="s">
        <v>35</v>
      </c>
      <c r="C232" s="331"/>
      <c r="D232" s="376"/>
      <c r="E232" s="366"/>
      <c r="F232" s="325"/>
      <c r="G232" s="134">
        <f>SUM(H232:Y232)</f>
        <v>0</v>
      </c>
      <c r="H232" s="134"/>
      <c r="I232" s="134"/>
      <c r="J232" s="134"/>
      <c r="K232" s="134"/>
      <c r="L232" s="134"/>
      <c r="M232" s="134"/>
      <c r="N232" s="134"/>
      <c r="O232" s="134"/>
      <c r="P232" s="240"/>
      <c r="Q232" s="240"/>
      <c r="R232" s="240"/>
      <c r="S232" s="240"/>
      <c r="T232" s="134"/>
      <c r="U232" s="144"/>
      <c r="V232" s="144"/>
      <c r="W232" s="144"/>
      <c r="X232" s="134"/>
      <c r="Y232" s="134"/>
      <c r="Z232" s="328"/>
    </row>
    <row r="233" spans="1:26" ht="12.75" hidden="1" customHeight="1">
      <c r="A233" s="316"/>
      <c r="B233" s="22" t="s">
        <v>36</v>
      </c>
      <c r="C233" s="353"/>
      <c r="D233" s="377"/>
      <c r="E233" s="367"/>
      <c r="F233" s="365"/>
      <c r="G233" s="134">
        <f>SUM(H233:Y233)</f>
        <v>0</v>
      </c>
      <c r="H233" s="134"/>
      <c r="I233" s="134"/>
      <c r="J233" s="134"/>
      <c r="K233" s="134"/>
      <c r="L233" s="134"/>
      <c r="M233" s="134"/>
      <c r="N233" s="134"/>
      <c r="O233" s="134"/>
      <c r="P233" s="240"/>
      <c r="Q233" s="240"/>
      <c r="R233" s="240"/>
      <c r="S233" s="240"/>
      <c r="T233" s="134"/>
      <c r="U233" s="144"/>
      <c r="V233" s="144"/>
      <c r="W233" s="144"/>
      <c r="X233" s="134"/>
      <c r="Y233" s="134"/>
      <c r="Z233" s="342"/>
    </row>
    <row r="234" spans="1:26" ht="25.5">
      <c r="A234" s="315" t="s">
        <v>86</v>
      </c>
      <c r="B234" s="15" t="s">
        <v>43</v>
      </c>
      <c r="C234" s="330" t="s">
        <v>41</v>
      </c>
      <c r="D234" s="327" t="s">
        <v>3</v>
      </c>
      <c r="E234" s="300">
        <v>92</v>
      </c>
      <c r="F234" s="324" t="s">
        <v>16</v>
      </c>
      <c r="G234" s="24">
        <f>G235+G239+G241+G245+G246</f>
        <v>17984.400000000001</v>
      </c>
      <c r="H234" s="24">
        <f>H235+H239+H241+H245+H246</f>
        <v>0</v>
      </c>
      <c r="I234" s="25"/>
      <c r="J234" s="25"/>
      <c r="K234" s="25"/>
      <c r="L234" s="24">
        <f>L235+L239+L241+L245+L246</f>
        <v>17984.400000000001</v>
      </c>
      <c r="M234" s="25">
        <v>0</v>
      </c>
      <c r="N234" s="25">
        <v>0</v>
      </c>
      <c r="O234" s="25">
        <v>0</v>
      </c>
      <c r="P234" s="24">
        <f>P235+P239+P241+P245+P246</f>
        <v>0</v>
      </c>
      <c r="Q234" s="24">
        <f t="shared" ref="Q234" si="159">Q235+Q248+Q250+Q263+Q267</f>
        <v>0</v>
      </c>
      <c r="R234" s="24">
        <f>R235+R239+R241+R245+R246</f>
        <v>0</v>
      </c>
      <c r="S234" s="24">
        <f>S235+S239+S241+S245+S246</f>
        <v>0</v>
      </c>
      <c r="T234" s="24">
        <f>H234+L234</f>
        <v>17984.400000000001</v>
      </c>
      <c r="U234" s="24">
        <f>I234+M234+Q234</f>
        <v>0</v>
      </c>
      <c r="V234" s="24">
        <f t="shared" ref="V234:W235" si="160">J234+N234+R234</f>
        <v>0</v>
      </c>
      <c r="W234" s="24">
        <f t="shared" si="160"/>
        <v>0</v>
      </c>
      <c r="X234" s="25"/>
      <c r="Y234" s="25"/>
      <c r="Z234" s="329"/>
    </row>
    <row r="235" spans="1:26">
      <c r="A235" s="316"/>
      <c r="B235" s="21" t="s">
        <v>123</v>
      </c>
      <c r="C235" s="331"/>
      <c r="D235" s="328"/>
      <c r="E235" s="393"/>
      <c r="F235" s="325"/>
      <c r="G235" s="285">
        <v>17984.400000000001</v>
      </c>
      <c r="H235" s="285"/>
      <c r="I235" s="128"/>
      <c r="J235" s="128"/>
      <c r="K235" s="128"/>
      <c r="L235" s="285">
        <v>17984.400000000001</v>
      </c>
      <c r="M235" s="128"/>
      <c r="N235" s="128"/>
      <c r="O235" s="128"/>
      <c r="P235" s="285">
        <v>0</v>
      </c>
      <c r="Q235" s="285">
        <f>SUM(Q237:Q247)</f>
        <v>0</v>
      </c>
      <c r="R235" s="285">
        <f>SUM(R237:R246)</f>
        <v>0</v>
      </c>
      <c r="S235" s="285">
        <f>SUM(S237:S246)</f>
        <v>0</v>
      </c>
      <c r="T235" s="285">
        <f t="shared" ref="T235:U236" si="161">H235+L235</f>
        <v>17984.400000000001</v>
      </c>
      <c r="U235" s="285">
        <f>I235+M235+Q235</f>
        <v>0</v>
      </c>
      <c r="V235" s="285">
        <f t="shared" si="160"/>
        <v>0</v>
      </c>
      <c r="W235" s="285">
        <f t="shared" si="160"/>
        <v>0</v>
      </c>
      <c r="X235" s="285">
        <v>17984.400000000001</v>
      </c>
      <c r="Y235" s="285"/>
      <c r="Z235" s="328"/>
    </row>
    <row r="236" spans="1:26">
      <c r="A236" s="316"/>
      <c r="B236" s="38" t="s">
        <v>25</v>
      </c>
      <c r="C236" s="331"/>
      <c r="D236" s="328"/>
      <c r="E236" s="393"/>
      <c r="F236" s="325"/>
      <c r="G236" s="287"/>
      <c r="H236" s="287"/>
      <c r="I236" s="130"/>
      <c r="J236" s="130"/>
      <c r="K236" s="130"/>
      <c r="L236" s="287"/>
      <c r="M236" s="130"/>
      <c r="N236" s="130"/>
      <c r="O236" s="130"/>
      <c r="P236" s="287"/>
      <c r="Q236" s="287"/>
      <c r="R236" s="287"/>
      <c r="S236" s="287"/>
      <c r="T236" s="287">
        <f t="shared" si="161"/>
        <v>0</v>
      </c>
      <c r="U236" s="287">
        <f t="shared" si="161"/>
        <v>0</v>
      </c>
      <c r="V236" s="287">
        <f t="shared" ref="V236" si="162">J236+N236</f>
        <v>0</v>
      </c>
      <c r="W236" s="287">
        <f t="shared" ref="W236" si="163">K236+O236</f>
        <v>0</v>
      </c>
      <c r="X236" s="287"/>
      <c r="Y236" s="287"/>
      <c r="Z236" s="328"/>
    </row>
    <row r="237" spans="1:26" hidden="1">
      <c r="A237" s="316"/>
      <c r="B237" s="109" t="s">
        <v>227</v>
      </c>
      <c r="C237" s="331"/>
      <c r="D237" s="328"/>
      <c r="E237" s="393"/>
      <c r="F237" s="325"/>
      <c r="G237" s="259"/>
      <c r="H237" s="259"/>
      <c r="I237" s="259"/>
      <c r="J237" s="259"/>
      <c r="K237" s="259"/>
      <c r="L237" s="259"/>
      <c r="M237" s="259"/>
      <c r="N237" s="259"/>
      <c r="O237" s="259"/>
      <c r="P237" s="259"/>
      <c r="Q237" s="113"/>
      <c r="R237" s="95"/>
      <c r="S237" s="95"/>
      <c r="T237" s="259"/>
      <c r="U237" s="259"/>
      <c r="V237" s="259"/>
      <c r="W237" s="259"/>
      <c r="X237" s="259"/>
      <c r="Y237" s="259"/>
      <c r="Z237" s="328"/>
    </row>
    <row r="238" spans="1:26" hidden="1">
      <c r="A238" s="316"/>
      <c r="B238" s="109" t="s">
        <v>228</v>
      </c>
      <c r="C238" s="331"/>
      <c r="D238" s="328"/>
      <c r="E238" s="393"/>
      <c r="F238" s="325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113"/>
      <c r="R238" s="79"/>
      <c r="S238" s="79"/>
      <c r="T238" s="261"/>
      <c r="U238" s="261"/>
      <c r="V238" s="261"/>
      <c r="W238" s="261"/>
      <c r="X238" s="261"/>
      <c r="Y238" s="261"/>
      <c r="Z238" s="328"/>
    </row>
    <row r="239" spans="1:26">
      <c r="A239" s="316"/>
      <c r="B239" s="22" t="s">
        <v>27</v>
      </c>
      <c r="C239" s="331"/>
      <c r="D239" s="328"/>
      <c r="E239" s="393"/>
      <c r="F239" s="325"/>
      <c r="G239" s="144">
        <v>0</v>
      </c>
      <c r="H239" s="130"/>
      <c r="I239" s="130"/>
      <c r="J239" s="130"/>
      <c r="K239" s="130"/>
      <c r="L239" s="144">
        <v>0</v>
      </c>
      <c r="M239" s="130"/>
      <c r="N239" s="130"/>
      <c r="O239" s="130"/>
      <c r="P239" s="240">
        <v>0</v>
      </c>
      <c r="Q239" s="233"/>
      <c r="R239" s="233"/>
      <c r="S239" s="233"/>
      <c r="T239" s="144">
        <f>H239+L239</f>
        <v>0</v>
      </c>
      <c r="U239" s="243">
        <f>I239+M239+Q239</f>
        <v>0</v>
      </c>
      <c r="V239" s="144">
        <f>J239+N239</f>
        <v>0</v>
      </c>
      <c r="W239" s="144">
        <f>K239+O239</f>
        <v>0</v>
      </c>
      <c r="X239" s="130"/>
      <c r="Y239" s="130"/>
      <c r="Z239" s="328"/>
    </row>
    <row r="240" spans="1:26">
      <c r="A240" s="316"/>
      <c r="B240" s="42" t="s">
        <v>37</v>
      </c>
      <c r="C240" s="331"/>
      <c r="D240" s="328"/>
      <c r="E240" s="393"/>
      <c r="F240" s="325"/>
      <c r="G240" s="145">
        <v>0</v>
      </c>
      <c r="H240" s="130"/>
      <c r="I240" s="130"/>
      <c r="J240" s="130"/>
      <c r="K240" s="130"/>
      <c r="L240" s="145">
        <v>0</v>
      </c>
      <c r="M240" s="130"/>
      <c r="N240" s="130"/>
      <c r="O240" s="130"/>
      <c r="P240" s="239">
        <v>0</v>
      </c>
      <c r="Q240" s="233"/>
      <c r="R240" s="233"/>
      <c r="S240" s="233"/>
      <c r="T240" s="145">
        <f t="shared" ref="T240:W260" si="164">H240+L240</f>
        <v>0</v>
      </c>
      <c r="U240" s="244">
        <f>I240+M240+Q240</f>
        <v>0</v>
      </c>
      <c r="V240" s="145">
        <f t="shared" si="164"/>
        <v>0</v>
      </c>
      <c r="W240" s="145">
        <f t="shared" si="164"/>
        <v>0</v>
      </c>
      <c r="X240" s="130"/>
      <c r="Y240" s="130"/>
      <c r="Z240" s="328"/>
    </row>
    <row r="241" spans="1:26">
      <c r="A241" s="316"/>
      <c r="B241" s="22" t="s">
        <v>28</v>
      </c>
      <c r="C241" s="331"/>
      <c r="D241" s="328"/>
      <c r="E241" s="393"/>
      <c r="F241" s="325"/>
      <c r="G241" s="144">
        <v>0</v>
      </c>
      <c r="H241" s="130"/>
      <c r="I241" s="130"/>
      <c r="J241" s="130"/>
      <c r="K241" s="130"/>
      <c r="L241" s="144">
        <v>0</v>
      </c>
      <c r="M241" s="130"/>
      <c r="N241" s="130"/>
      <c r="O241" s="130"/>
      <c r="P241" s="240">
        <v>0</v>
      </c>
      <c r="Q241" s="233"/>
      <c r="R241" s="233"/>
      <c r="S241" s="233"/>
      <c r="T241" s="144">
        <f t="shared" si="164"/>
        <v>0</v>
      </c>
      <c r="U241" s="243">
        <f>I241+M241+Q241</f>
        <v>0</v>
      </c>
      <c r="V241" s="144">
        <f t="shared" si="164"/>
        <v>0</v>
      </c>
      <c r="W241" s="144">
        <f t="shared" si="164"/>
        <v>0</v>
      </c>
      <c r="X241" s="130"/>
      <c r="Y241" s="130"/>
      <c r="Z241" s="328"/>
    </row>
    <row r="242" spans="1:26">
      <c r="A242" s="316"/>
      <c r="B242" s="42" t="s">
        <v>39</v>
      </c>
      <c r="C242" s="400"/>
      <c r="D242" s="393"/>
      <c r="E242" s="393"/>
      <c r="F242" s="393"/>
      <c r="G242" s="145">
        <v>0</v>
      </c>
      <c r="H242" s="134"/>
      <c r="I242" s="134"/>
      <c r="J242" s="134"/>
      <c r="K242" s="134"/>
      <c r="L242" s="145">
        <v>0</v>
      </c>
      <c r="M242" s="134"/>
      <c r="N242" s="134"/>
      <c r="O242" s="134"/>
      <c r="P242" s="239">
        <v>0</v>
      </c>
      <c r="Q242" s="240"/>
      <c r="R242" s="240"/>
      <c r="S242" s="240"/>
      <c r="T242" s="145">
        <f t="shared" si="164"/>
        <v>0</v>
      </c>
      <c r="U242" s="244">
        <f>I242+M242+Q242</f>
        <v>0</v>
      </c>
      <c r="V242" s="145">
        <f t="shared" si="164"/>
        <v>0</v>
      </c>
      <c r="W242" s="145">
        <f t="shared" si="164"/>
        <v>0</v>
      </c>
      <c r="X242" s="134"/>
      <c r="Y242" s="134"/>
      <c r="Z242" s="393"/>
    </row>
    <row r="243" spans="1:26">
      <c r="A243" s="316"/>
      <c r="B243" s="39" t="s">
        <v>30</v>
      </c>
      <c r="C243" s="400"/>
      <c r="D243" s="393"/>
      <c r="E243" s="393"/>
      <c r="F243" s="393"/>
      <c r="G243" s="145">
        <v>0</v>
      </c>
      <c r="H243" s="134"/>
      <c r="I243" s="134"/>
      <c r="J243" s="134"/>
      <c r="K243" s="134"/>
      <c r="L243" s="145">
        <v>0</v>
      </c>
      <c r="M243" s="134"/>
      <c r="N243" s="134"/>
      <c r="O243" s="134"/>
      <c r="P243" s="239">
        <v>0</v>
      </c>
      <c r="Q243" s="240"/>
      <c r="R243" s="240"/>
      <c r="S243" s="240"/>
      <c r="T243" s="145">
        <f t="shared" si="164"/>
        <v>0</v>
      </c>
      <c r="U243" s="244">
        <f t="shared" ref="U243:U244" si="165">I243+M243+Q243</f>
        <v>0</v>
      </c>
      <c r="V243" s="145">
        <f t="shared" si="164"/>
        <v>0</v>
      </c>
      <c r="W243" s="145">
        <f t="shared" si="164"/>
        <v>0</v>
      </c>
      <c r="X243" s="134"/>
      <c r="Y243" s="134"/>
      <c r="Z243" s="393"/>
    </row>
    <row r="244" spans="1:26">
      <c r="A244" s="316"/>
      <c r="B244" s="39" t="s">
        <v>31</v>
      </c>
      <c r="C244" s="400"/>
      <c r="D244" s="393"/>
      <c r="E244" s="393"/>
      <c r="F244" s="393"/>
      <c r="G244" s="145">
        <v>0</v>
      </c>
      <c r="H244" s="134"/>
      <c r="I244" s="134"/>
      <c r="J244" s="134"/>
      <c r="K244" s="134"/>
      <c r="L244" s="145">
        <v>0</v>
      </c>
      <c r="M244" s="134"/>
      <c r="N244" s="134"/>
      <c r="O244" s="134"/>
      <c r="P244" s="239">
        <v>0</v>
      </c>
      <c r="Q244" s="240"/>
      <c r="R244" s="240"/>
      <c r="S244" s="240"/>
      <c r="T244" s="145">
        <f t="shared" si="164"/>
        <v>0</v>
      </c>
      <c r="U244" s="244">
        <f t="shared" si="165"/>
        <v>0</v>
      </c>
      <c r="V244" s="145">
        <f t="shared" si="164"/>
        <v>0</v>
      </c>
      <c r="W244" s="145">
        <f t="shared" si="164"/>
        <v>0</v>
      </c>
      <c r="X244" s="133"/>
      <c r="Y244" s="134"/>
      <c r="Z244" s="393"/>
    </row>
    <row r="245" spans="1:26">
      <c r="A245" s="316"/>
      <c r="B245" s="22" t="s">
        <v>35</v>
      </c>
      <c r="C245" s="400"/>
      <c r="D245" s="393"/>
      <c r="E245" s="393"/>
      <c r="F245" s="393"/>
      <c r="G245" s="144">
        <v>0</v>
      </c>
      <c r="H245" s="134"/>
      <c r="I245" s="134"/>
      <c r="J245" s="134"/>
      <c r="K245" s="134"/>
      <c r="L245" s="144">
        <v>0</v>
      </c>
      <c r="M245" s="134"/>
      <c r="N245" s="134"/>
      <c r="O245" s="134"/>
      <c r="P245" s="240">
        <v>0</v>
      </c>
      <c r="Q245" s="240"/>
      <c r="R245" s="240"/>
      <c r="S245" s="240"/>
      <c r="T245" s="144">
        <f t="shared" si="164"/>
        <v>0</v>
      </c>
      <c r="U245" s="243">
        <f>I245+M245+Q245</f>
        <v>0</v>
      </c>
      <c r="V245" s="144">
        <f t="shared" si="164"/>
        <v>0</v>
      </c>
      <c r="W245" s="144">
        <f t="shared" si="164"/>
        <v>0</v>
      </c>
      <c r="X245" s="134"/>
      <c r="Y245" s="134"/>
      <c r="Z245" s="393"/>
    </row>
    <row r="246" spans="1:26">
      <c r="A246" s="316"/>
      <c r="B246" s="22" t="s">
        <v>36</v>
      </c>
      <c r="C246" s="401"/>
      <c r="D246" s="392"/>
      <c r="E246" s="392"/>
      <c r="F246" s="392"/>
      <c r="G246" s="144">
        <v>0</v>
      </c>
      <c r="H246" s="134"/>
      <c r="I246" s="134"/>
      <c r="J246" s="134"/>
      <c r="K246" s="134"/>
      <c r="L246" s="144">
        <v>0</v>
      </c>
      <c r="M246" s="134"/>
      <c r="N246" s="134"/>
      <c r="O246" s="134"/>
      <c r="P246" s="240">
        <v>0</v>
      </c>
      <c r="Q246" s="240"/>
      <c r="R246" s="240"/>
      <c r="S246" s="240"/>
      <c r="T246" s="144">
        <f t="shared" si="164"/>
        <v>0</v>
      </c>
      <c r="U246" s="243">
        <f>I246+M246+Q246</f>
        <v>0</v>
      </c>
      <c r="V246" s="144">
        <f t="shared" si="164"/>
        <v>0</v>
      </c>
      <c r="W246" s="144">
        <f t="shared" si="164"/>
        <v>0</v>
      </c>
      <c r="X246" s="134"/>
      <c r="Y246" s="134"/>
      <c r="Z246" s="392"/>
    </row>
    <row r="247" spans="1:26" ht="25.5">
      <c r="A247" s="315" t="s">
        <v>71</v>
      </c>
      <c r="B247" s="15" t="s">
        <v>140</v>
      </c>
      <c r="C247" s="330" t="s">
        <v>55</v>
      </c>
      <c r="D247" s="327" t="s">
        <v>4</v>
      </c>
      <c r="E247" s="300">
        <v>0.32800000000000001</v>
      </c>
      <c r="F247" s="324" t="s">
        <v>16</v>
      </c>
      <c r="G247" s="24">
        <f>G248+G253+G255+G259+G260</f>
        <v>28508.5</v>
      </c>
      <c r="H247" s="24">
        <f>H248+H253+H255+H259+H260</f>
        <v>0</v>
      </c>
      <c r="I247" s="25"/>
      <c r="J247" s="25"/>
      <c r="K247" s="25"/>
      <c r="L247" s="24">
        <f t="shared" ref="L247:S247" si="166">L248+L253+L255+L259+L260</f>
        <v>28508.5</v>
      </c>
      <c r="M247" s="24">
        <f t="shared" si="166"/>
        <v>1066.7380000000001</v>
      </c>
      <c r="N247" s="24">
        <f t="shared" si="166"/>
        <v>1296.7380000000001</v>
      </c>
      <c r="O247" s="24">
        <f t="shared" si="166"/>
        <v>1296.7380000000001</v>
      </c>
      <c r="P247" s="24">
        <f t="shared" si="166"/>
        <v>0</v>
      </c>
      <c r="Q247" s="24">
        <f t="shared" si="166"/>
        <v>0</v>
      </c>
      <c r="R247" s="24">
        <f t="shared" si="166"/>
        <v>0</v>
      </c>
      <c r="S247" s="24">
        <f t="shared" si="166"/>
        <v>0</v>
      </c>
      <c r="T247" s="24">
        <f>H247+L247</f>
        <v>28508.5</v>
      </c>
      <c r="U247" s="24">
        <f>I247+M247+Q247</f>
        <v>1066.7380000000001</v>
      </c>
      <c r="V247" s="24">
        <f t="shared" ref="V247:W248" si="167">J247+N247+R247</f>
        <v>1296.7380000000001</v>
      </c>
      <c r="W247" s="24">
        <f t="shared" si="167"/>
        <v>1296.7380000000001</v>
      </c>
      <c r="X247" s="25"/>
      <c r="Y247" s="25"/>
      <c r="Z247" s="329"/>
    </row>
    <row r="248" spans="1:26">
      <c r="A248" s="316"/>
      <c r="B248" s="21" t="s">
        <v>123</v>
      </c>
      <c r="C248" s="331"/>
      <c r="D248" s="328"/>
      <c r="E248" s="393"/>
      <c r="F248" s="325"/>
      <c r="G248" s="285">
        <v>28508.5</v>
      </c>
      <c r="H248" s="285"/>
      <c r="I248" s="128"/>
      <c r="J248" s="128"/>
      <c r="K248" s="128"/>
      <c r="L248" s="285">
        <v>28508.5</v>
      </c>
      <c r="M248" s="285">
        <f>SUM(M250:M252)</f>
        <v>1066.7380000000001</v>
      </c>
      <c r="N248" s="285">
        <f>SUM(N250:N252)</f>
        <v>1296.7380000000001</v>
      </c>
      <c r="O248" s="285">
        <f>SUM(O250:O252)</f>
        <v>1296.7380000000001</v>
      </c>
      <c r="P248" s="285">
        <v>0</v>
      </c>
      <c r="Q248" s="285">
        <f>SUM(Q250:Q252)</f>
        <v>0</v>
      </c>
      <c r="R248" s="285">
        <f>SUM(R250:R252)</f>
        <v>0</v>
      </c>
      <c r="S248" s="285">
        <f>SUM(S250:S252)</f>
        <v>0</v>
      </c>
      <c r="T248" s="285">
        <f t="shared" ref="T248:U249" si="168">H248+L248</f>
        <v>28508.5</v>
      </c>
      <c r="U248" s="285">
        <f>I248+M248+Q248</f>
        <v>1066.7380000000001</v>
      </c>
      <c r="V248" s="285">
        <f t="shared" si="167"/>
        <v>1296.7380000000001</v>
      </c>
      <c r="W248" s="285">
        <f t="shared" si="167"/>
        <v>1296.7380000000001</v>
      </c>
      <c r="X248" s="285">
        <v>28508.5</v>
      </c>
      <c r="Y248" s="285"/>
      <c r="Z248" s="328"/>
    </row>
    <row r="249" spans="1:26" ht="12.75" customHeight="1">
      <c r="A249" s="316"/>
      <c r="B249" s="38" t="s">
        <v>25</v>
      </c>
      <c r="C249" s="331"/>
      <c r="D249" s="328"/>
      <c r="E249" s="393"/>
      <c r="F249" s="325"/>
      <c r="G249" s="392"/>
      <c r="H249" s="287"/>
      <c r="I249" s="130"/>
      <c r="J249" s="130"/>
      <c r="K249" s="130"/>
      <c r="L249" s="287"/>
      <c r="M249" s="287"/>
      <c r="N249" s="287"/>
      <c r="O249" s="287"/>
      <c r="P249" s="287"/>
      <c r="Q249" s="287"/>
      <c r="R249" s="287"/>
      <c r="S249" s="287"/>
      <c r="T249" s="287">
        <f t="shared" si="168"/>
        <v>0</v>
      </c>
      <c r="U249" s="287">
        <f t="shared" si="168"/>
        <v>0</v>
      </c>
      <c r="V249" s="287">
        <f t="shared" ref="V249" si="169">J249+N249</f>
        <v>0</v>
      </c>
      <c r="W249" s="287">
        <f t="shared" ref="W249" si="170">K249+O249</f>
        <v>0</v>
      </c>
      <c r="X249" s="287"/>
      <c r="Y249" s="287"/>
      <c r="Z249" s="328"/>
    </row>
    <row r="250" spans="1:26" s="163" customFormat="1" ht="12" hidden="1" customHeight="1">
      <c r="A250" s="316"/>
      <c r="B250" s="109" t="s">
        <v>205</v>
      </c>
      <c r="C250" s="331"/>
      <c r="D250" s="328"/>
      <c r="E250" s="393"/>
      <c r="F250" s="325"/>
      <c r="G250" s="162"/>
      <c r="H250" s="112"/>
      <c r="I250" s="112"/>
      <c r="J250" s="112"/>
      <c r="K250" s="112"/>
      <c r="L250" s="112"/>
      <c r="M250" s="111">
        <f>273.138+23.6</f>
        <v>296.738</v>
      </c>
      <c r="N250" s="111">
        <f>81.941+191.197+7.08+16.52</f>
        <v>296.738</v>
      </c>
      <c r="O250" s="111">
        <f>81.941+191.197+7.08+16.52</f>
        <v>296.738</v>
      </c>
      <c r="P250" s="112"/>
      <c r="Q250" s="111"/>
      <c r="R250" s="111"/>
      <c r="S250" s="111"/>
      <c r="T250" s="112"/>
      <c r="U250" s="112">
        <f>I250+M250+Q250</f>
        <v>296.738</v>
      </c>
      <c r="V250" s="112"/>
      <c r="W250" s="112"/>
      <c r="X250" s="112"/>
      <c r="Y250" s="112"/>
      <c r="Z250" s="328"/>
    </row>
    <row r="251" spans="1:26" s="178" customFormat="1" ht="12" hidden="1" customHeight="1">
      <c r="A251" s="316"/>
      <c r="B251" s="109" t="s">
        <v>206</v>
      </c>
      <c r="C251" s="331"/>
      <c r="D251" s="328"/>
      <c r="E251" s="393"/>
      <c r="F251" s="325"/>
      <c r="G251" s="177"/>
      <c r="H251" s="110"/>
      <c r="I251" s="110"/>
      <c r="J251" s="110"/>
      <c r="K251" s="110"/>
      <c r="L251" s="110"/>
      <c r="M251" s="111">
        <v>770</v>
      </c>
      <c r="N251" s="111">
        <v>1000</v>
      </c>
      <c r="O251" s="111">
        <v>1000</v>
      </c>
      <c r="P251" s="110"/>
      <c r="Q251" s="111"/>
      <c r="R251" s="111"/>
      <c r="S251" s="111"/>
      <c r="T251" s="110"/>
      <c r="U251" s="112">
        <f t="shared" ref="U251:U252" si="171">I251+M251+Q251</f>
        <v>770</v>
      </c>
      <c r="V251" s="110"/>
      <c r="W251" s="110"/>
      <c r="X251" s="110"/>
      <c r="Y251" s="110"/>
      <c r="Z251" s="328"/>
    </row>
    <row r="252" spans="1:26" s="178" customFormat="1" ht="12" hidden="1" customHeight="1">
      <c r="A252" s="316"/>
      <c r="B252" s="109"/>
      <c r="C252" s="331"/>
      <c r="D252" s="328"/>
      <c r="E252" s="393"/>
      <c r="F252" s="325"/>
      <c r="G252" s="177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2">
        <f t="shared" si="171"/>
        <v>0</v>
      </c>
      <c r="V252" s="110"/>
      <c r="W252" s="110"/>
      <c r="X252" s="110"/>
      <c r="Y252" s="110"/>
      <c r="Z252" s="328"/>
    </row>
    <row r="253" spans="1:26">
      <c r="A253" s="316"/>
      <c r="B253" s="22" t="s">
        <v>27</v>
      </c>
      <c r="C253" s="331"/>
      <c r="D253" s="328"/>
      <c r="E253" s="393"/>
      <c r="F253" s="325"/>
      <c r="G253" s="144">
        <v>0</v>
      </c>
      <c r="H253" s="130"/>
      <c r="I253" s="130"/>
      <c r="J253" s="130"/>
      <c r="K253" s="130"/>
      <c r="L253" s="144">
        <v>0</v>
      </c>
      <c r="M253" s="130"/>
      <c r="N253" s="130"/>
      <c r="O253" s="130"/>
      <c r="P253" s="240">
        <v>0</v>
      </c>
      <c r="Q253" s="233"/>
      <c r="R253" s="233"/>
      <c r="S253" s="233"/>
      <c r="T253" s="144">
        <f>H253+L253</f>
        <v>0</v>
      </c>
      <c r="U253" s="243">
        <f>I253+M253+Q253</f>
        <v>0</v>
      </c>
      <c r="V253" s="144">
        <f>J253+N253</f>
        <v>0</v>
      </c>
      <c r="W253" s="144">
        <f>K253+O253</f>
        <v>0</v>
      </c>
      <c r="X253" s="130"/>
      <c r="Y253" s="130"/>
      <c r="Z253" s="328"/>
    </row>
    <row r="254" spans="1:26">
      <c r="A254" s="316"/>
      <c r="B254" s="42" t="s">
        <v>37</v>
      </c>
      <c r="C254" s="331"/>
      <c r="D254" s="328"/>
      <c r="E254" s="393"/>
      <c r="F254" s="325"/>
      <c r="G254" s="145">
        <v>0</v>
      </c>
      <c r="H254" s="130"/>
      <c r="I254" s="130"/>
      <c r="J254" s="130"/>
      <c r="K254" s="130"/>
      <c r="L254" s="145">
        <v>0</v>
      </c>
      <c r="M254" s="130"/>
      <c r="N254" s="130"/>
      <c r="O254" s="130"/>
      <c r="P254" s="239">
        <v>0</v>
      </c>
      <c r="Q254" s="233"/>
      <c r="R254" s="233"/>
      <c r="S254" s="233"/>
      <c r="T254" s="145">
        <f t="shared" si="164"/>
        <v>0</v>
      </c>
      <c r="U254" s="244">
        <f>I254+M254+Q254</f>
        <v>0</v>
      </c>
      <c r="V254" s="145">
        <f t="shared" si="164"/>
        <v>0</v>
      </c>
      <c r="W254" s="145">
        <f t="shared" si="164"/>
        <v>0</v>
      </c>
      <c r="X254" s="130"/>
      <c r="Y254" s="130"/>
      <c r="Z254" s="328"/>
    </row>
    <row r="255" spans="1:26">
      <c r="A255" s="316"/>
      <c r="B255" s="22" t="s">
        <v>28</v>
      </c>
      <c r="C255" s="331"/>
      <c r="D255" s="328"/>
      <c r="E255" s="393"/>
      <c r="F255" s="325"/>
      <c r="G255" s="144">
        <v>0</v>
      </c>
      <c r="H255" s="130"/>
      <c r="I255" s="130"/>
      <c r="J255" s="130"/>
      <c r="K255" s="130"/>
      <c r="L255" s="144">
        <v>0</v>
      </c>
      <c r="M255" s="130"/>
      <c r="N255" s="130"/>
      <c r="O255" s="130"/>
      <c r="P255" s="240">
        <v>0</v>
      </c>
      <c r="Q255" s="233"/>
      <c r="R255" s="233"/>
      <c r="S255" s="233"/>
      <c r="T255" s="144">
        <f t="shared" si="164"/>
        <v>0</v>
      </c>
      <c r="U255" s="243">
        <f>I255+M255+Q255</f>
        <v>0</v>
      </c>
      <c r="V255" s="144">
        <f t="shared" si="164"/>
        <v>0</v>
      </c>
      <c r="W255" s="144">
        <f t="shared" si="164"/>
        <v>0</v>
      </c>
      <c r="X255" s="130"/>
      <c r="Y255" s="130"/>
      <c r="Z255" s="328"/>
    </row>
    <row r="256" spans="1:26">
      <c r="A256" s="316"/>
      <c r="B256" s="42" t="s">
        <v>39</v>
      </c>
      <c r="C256" s="400"/>
      <c r="D256" s="393"/>
      <c r="E256" s="393"/>
      <c r="F256" s="393"/>
      <c r="G256" s="145">
        <v>0</v>
      </c>
      <c r="H256" s="134"/>
      <c r="I256" s="134"/>
      <c r="J256" s="134"/>
      <c r="K256" s="134"/>
      <c r="L256" s="145">
        <v>0</v>
      </c>
      <c r="M256" s="134"/>
      <c r="N256" s="134"/>
      <c r="O256" s="134"/>
      <c r="P256" s="239">
        <v>0</v>
      </c>
      <c r="Q256" s="240"/>
      <c r="R256" s="240"/>
      <c r="S256" s="240"/>
      <c r="T256" s="145">
        <f t="shared" si="164"/>
        <v>0</v>
      </c>
      <c r="U256" s="244">
        <f>I256+M256+Q256</f>
        <v>0</v>
      </c>
      <c r="V256" s="145">
        <f t="shared" si="164"/>
        <v>0</v>
      </c>
      <c r="W256" s="145">
        <f t="shared" si="164"/>
        <v>0</v>
      </c>
      <c r="X256" s="134"/>
      <c r="Y256" s="134"/>
      <c r="Z256" s="393"/>
    </row>
    <row r="257" spans="1:26">
      <c r="A257" s="316"/>
      <c r="B257" s="39" t="s">
        <v>30</v>
      </c>
      <c r="C257" s="400"/>
      <c r="D257" s="393"/>
      <c r="E257" s="393"/>
      <c r="F257" s="393"/>
      <c r="G257" s="145">
        <v>0</v>
      </c>
      <c r="H257" s="134"/>
      <c r="I257" s="134"/>
      <c r="J257" s="134"/>
      <c r="K257" s="134"/>
      <c r="L257" s="145">
        <v>0</v>
      </c>
      <c r="M257" s="134"/>
      <c r="N257" s="134"/>
      <c r="O257" s="134"/>
      <c r="P257" s="239">
        <v>0</v>
      </c>
      <c r="Q257" s="240"/>
      <c r="R257" s="240"/>
      <c r="S257" s="240"/>
      <c r="T257" s="145">
        <f t="shared" si="164"/>
        <v>0</v>
      </c>
      <c r="U257" s="244">
        <f t="shared" ref="U257:U258" si="172">I257+M257+Q257</f>
        <v>0</v>
      </c>
      <c r="V257" s="145">
        <f t="shared" si="164"/>
        <v>0</v>
      </c>
      <c r="W257" s="145">
        <f t="shared" si="164"/>
        <v>0</v>
      </c>
      <c r="X257" s="134"/>
      <c r="Y257" s="134"/>
      <c r="Z257" s="393"/>
    </row>
    <row r="258" spans="1:26">
      <c r="A258" s="316"/>
      <c r="B258" s="39" t="s">
        <v>31</v>
      </c>
      <c r="C258" s="400"/>
      <c r="D258" s="393"/>
      <c r="E258" s="393"/>
      <c r="F258" s="393"/>
      <c r="G258" s="145">
        <v>0</v>
      </c>
      <c r="H258" s="134"/>
      <c r="I258" s="134"/>
      <c r="J258" s="134"/>
      <c r="K258" s="134"/>
      <c r="L258" s="145">
        <v>0</v>
      </c>
      <c r="M258" s="134"/>
      <c r="N258" s="134"/>
      <c r="O258" s="134"/>
      <c r="P258" s="239">
        <v>0</v>
      </c>
      <c r="Q258" s="240"/>
      <c r="R258" s="240"/>
      <c r="S258" s="240"/>
      <c r="T258" s="145">
        <f t="shared" si="164"/>
        <v>0</v>
      </c>
      <c r="U258" s="244">
        <f t="shared" si="172"/>
        <v>0</v>
      </c>
      <c r="V258" s="145">
        <f t="shared" si="164"/>
        <v>0</v>
      </c>
      <c r="W258" s="145">
        <f t="shared" si="164"/>
        <v>0</v>
      </c>
      <c r="X258" s="134"/>
      <c r="Y258" s="134"/>
      <c r="Z258" s="393"/>
    </row>
    <row r="259" spans="1:26">
      <c r="A259" s="316"/>
      <c r="B259" s="22" t="s">
        <v>35</v>
      </c>
      <c r="C259" s="400"/>
      <c r="D259" s="393"/>
      <c r="E259" s="393"/>
      <c r="F259" s="393"/>
      <c r="G259" s="144">
        <v>0</v>
      </c>
      <c r="H259" s="134"/>
      <c r="I259" s="134"/>
      <c r="J259" s="134"/>
      <c r="K259" s="134"/>
      <c r="L259" s="144">
        <v>0</v>
      </c>
      <c r="M259" s="134"/>
      <c r="N259" s="134"/>
      <c r="O259" s="134"/>
      <c r="P259" s="240">
        <v>0</v>
      </c>
      <c r="Q259" s="240"/>
      <c r="R259" s="240"/>
      <c r="S259" s="240"/>
      <c r="T259" s="144">
        <f t="shared" si="164"/>
        <v>0</v>
      </c>
      <c r="U259" s="243">
        <f>I259+M259+Q259</f>
        <v>0</v>
      </c>
      <c r="V259" s="144">
        <f t="shared" si="164"/>
        <v>0</v>
      </c>
      <c r="W259" s="144">
        <f t="shared" si="164"/>
        <v>0</v>
      </c>
      <c r="X259" s="134"/>
      <c r="Y259" s="134"/>
      <c r="Z259" s="393"/>
    </row>
    <row r="260" spans="1:26">
      <c r="A260" s="317"/>
      <c r="B260" s="22" t="s">
        <v>36</v>
      </c>
      <c r="C260" s="401"/>
      <c r="D260" s="392"/>
      <c r="E260" s="392"/>
      <c r="F260" s="392"/>
      <c r="G260" s="144">
        <v>0</v>
      </c>
      <c r="H260" s="134"/>
      <c r="I260" s="134"/>
      <c r="J260" s="134"/>
      <c r="K260" s="134"/>
      <c r="L260" s="144">
        <v>0</v>
      </c>
      <c r="M260" s="134"/>
      <c r="N260" s="134"/>
      <c r="O260" s="134"/>
      <c r="P260" s="240">
        <v>0</v>
      </c>
      <c r="Q260" s="240"/>
      <c r="R260" s="240"/>
      <c r="S260" s="240"/>
      <c r="T260" s="144">
        <f t="shared" si="164"/>
        <v>0</v>
      </c>
      <c r="U260" s="243">
        <f>I260+M260+Q260</f>
        <v>0</v>
      </c>
      <c r="V260" s="144">
        <f t="shared" si="164"/>
        <v>0</v>
      </c>
      <c r="W260" s="144">
        <f t="shared" si="164"/>
        <v>0</v>
      </c>
      <c r="X260" s="134"/>
      <c r="Y260" s="134"/>
      <c r="Z260" s="392"/>
    </row>
    <row r="261" spans="1:26" ht="25.5">
      <c r="A261" s="315" t="s">
        <v>72</v>
      </c>
      <c r="B261" s="15" t="s">
        <v>44</v>
      </c>
      <c r="C261" s="330" t="s">
        <v>41</v>
      </c>
      <c r="D261" s="329" t="s">
        <v>5</v>
      </c>
      <c r="E261" s="300">
        <v>90</v>
      </c>
      <c r="F261" s="324" t="s">
        <v>17</v>
      </c>
      <c r="G261" s="24">
        <f>G262+G264+G266+G270+G271</f>
        <v>485875.1</v>
      </c>
      <c r="H261" s="24">
        <f>H262+H264+H266+H270+H271</f>
        <v>0</v>
      </c>
      <c r="I261" s="25"/>
      <c r="J261" s="25"/>
      <c r="K261" s="25"/>
      <c r="L261" s="24">
        <f>L262+L264+L266+L270+L271</f>
        <v>120890.6</v>
      </c>
      <c r="M261" s="25">
        <v>0</v>
      </c>
      <c r="N261" s="25">
        <v>0</v>
      </c>
      <c r="O261" s="25">
        <v>0</v>
      </c>
      <c r="P261" s="24">
        <f>P262+P264+P266+P270+P271</f>
        <v>0</v>
      </c>
      <c r="Q261" s="25">
        <v>0</v>
      </c>
      <c r="R261" s="25">
        <v>0</v>
      </c>
      <c r="S261" s="25">
        <v>0</v>
      </c>
      <c r="T261" s="24">
        <f>H261+L261+P261</f>
        <v>120890.6</v>
      </c>
      <c r="U261" s="24">
        <f>I261+M261+Q261</f>
        <v>0</v>
      </c>
      <c r="V261" s="24">
        <f t="shared" ref="V261:W262" si="173">J261+N261+R261</f>
        <v>0</v>
      </c>
      <c r="W261" s="24">
        <f t="shared" si="173"/>
        <v>0</v>
      </c>
      <c r="X261" s="25"/>
      <c r="Y261" s="25"/>
      <c r="Z261" s="329"/>
    </row>
    <row r="262" spans="1:26">
      <c r="A262" s="316"/>
      <c r="B262" s="21" t="s">
        <v>123</v>
      </c>
      <c r="C262" s="331"/>
      <c r="D262" s="328"/>
      <c r="E262" s="393"/>
      <c r="F262" s="325"/>
      <c r="G262" s="285">
        <v>485875.1</v>
      </c>
      <c r="H262" s="285"/>
      <c r="I262" s="128"/>
      <c r="J262" s="128"/>
      <c r="K262" s="128"/>
      <c r="L262" s="285">
        <v>120890.6</v>
      </c>
      <c r="M262" s="128"/>
      <c r="N262" s="128"/>
      <c r="O262" s="128"/>
      <c r="P262" s="285">
        <v>0</v>
      </c>
      <c r="Q262" s="285">
        <v>0</v>
      </c>
      <c r="R262" s="285">
        <v>0</v>
      </c>
      <c r="S262" s="285">
        <v>0</v>
      </c>
      <c r="T262" s="285">
        <f>H262+L262+P262</f>
        <v>120890.6</v>
      </c>
      <c r="U262" s="285">
        <f>I262+M262+Q262</f>
        <v>0</v>
      </c>
      <c r="V262" s="285">
        <f t="shared" si="173"/>
        <v>0</v>
      </c>
      <c r="W262" s="285">
        <f t="shared" si="173"/>
        <v>0</v>
      </c>
      <c r="X262" s="285">
        <v>120890.57</v>
      </c>
      <c r="Y262" s="285">
        <v>364984.5</v>
      </c>
      <c r="Z262" s="328"/>
    </row>
    <row r="263" spans="1:26">
      <c r="A263" s="316"/>
      <c r="B263" s="38" t="s">
        <v>25</v>
      </c>
      <c r="C263" s="331"/>
      <c r="D263" s="328"/>
      <c r="E263" s="393"/>
      <c r="F263" s="325"/>
      <c r="G263" s="392"/>
      <c r="H263" s="287"/>
      <c r="I263" s="130"/>
      <c r="J263" s="130"/>
      <c r="K263" s="130"/>
      <c r="L263" s="287"/>
      <c r="M263" s="130"/>
      <c r="N263" s="130"/>
      <c r="O263" s="130"/>
      <c r="P263" s="287"/>
      <c r="Q263" s="287"/>
      <c r="R263" s="287"/>
      <c r="S263" s="287"/>
      <c r="T263" s="287">
        <f t="shared" ref="T263:U263" si="174">H263+L263</f>
        <v>0</v>
      </c>
      <c r="U263" s="287">
        <f t="shared" si="174"/>
        <v>0</v>
      </c>
      <c r="V263" s="287">
        <f t="shared" ref="V263" si="175">J263+N263</f>
        <v>0</v>
      </c>
      <c r="W263" s="287">
        <f t="shared" ref="W263" si="176">K263+O263</f>
        <v>0</v>
      </c>
      <c r="X263" s="287"/>
      <c r="Y263" s="287"/>
      <c r="Z263" s="328"/>
    </row>
    <row r="264" spans="1:26">
      <c r="A264" s="316"/>
      <c r="B264" s="22" t="s">
        <v>27</v>
      </c>
      <c r="C264" s="331"/>
      <c r="D264" s="328"/>
      <c r="E264" s="393"/>
      <c r="F264" s="325"/>
      <c r="G264" s="144">
        <v>0</v>
      </c>
      <c r="H264" s="130"/>
      <c r="I264" s="130"/>
      <c r="J264" s="130"/>
      <c r="K264" s="130"/>
      <c r="L264" s="144">
        <v>0</v>
      </c>
      <c r="M264" s="130"/>
      <c r="N264" s="130"/>
      <c r="O264" s="130"/>
      <c r="P264" s="240">
        <v>0</v>
      </c>
      <c r="Q264" s="233"/>
      <c r="R264" s="233"/>
      <c r="S264" s="233"/>
      <c r="T264" s="144">
        <f>H264+L264</f>
        <v>0</v>
      </c>
      <c r="U264" s="243">
        <f>I264+M264+Q264</f>
        <v>0</v>
      </c>
      <c r="V264" s="144">
        <f>J264+N264</f>
        <v>0</v>
      </c>
      <c r="W264" s="144">
        <f>K264+O264</f>
        <v>0</v>
      </c>
      <c r="X264" s="130"/>
      <c r="Y264" s="130"/>
      <c r="Z264" s="328"/>
    </row>
    <row r="265" spans="1:26">
      <c r="A265" s="316"/>
      <c r="B265" s="42" t="s">
        <v>37</v>
      </c>
      <c r="C265" s="331"/>
      <c r="D265" s="328"/>
      <c r="E265" s="393"/>
      <c r="F265" s="325"/>
      <c r="G265" s="145">
        <v>0</v>
      </c>
      <c r="H265" s="130"/>
      <c r="I265" s="130"/>
      <c r="J265" s="130"/>
      <c r="K265" s="130"/>
      <c r="L265" s="145">
        <v>0</v>
      </c>
      <c r="M265" s="130"/>
      <c r="N265" s="130"/>
      <c r="O265" s="130"/>
      <c r="P265" s="239">
        <v>0</v>
      </c>
      <c r="Q265" s="233"/>
      <c r="R265" s="233"/>
      <c r="S265" s="233"/>
      <c r="T265" s="145">
        <f t="shared" ref="T265:W271" si="177">H265+L265</f>
        <v>0</v>
      </c>
      <c r="U265" s="244">
        <f>I265+M265+Q265</f>
        <v>0</v>
      </c>
      <c r="V265" s="145">
        <f t="shared" si="177"/>
        <v>0</v>
      </c>
      <c r="W265" s="145">
        <f t="shared" si="177"/>
        <v>0</v>
      </c>
      <c r="X265" s="130"/>
      <c r="Y265" s="130"/>
      <c r="Z265" s="328"/>
    </row>
    <row r="266" spans="1:26">
      <c r="A266" s="316"/>
      <c r="B266" s="22" t="s">
        <v>28</v>
      </c>
      <c r="C266" s="331"/>
      <c r="D266" s="328"/>
      <c r="E266" s="393"/>
      <c r="F266" s="325"/>
      <c r="G266" s="144">
        <v>0</v>
      </c>
      <c r="H266" s="130"/>
      <c r="I266" s="130"/>
      <c r="J266" s="130"/>
      <c r="K266" s="130"/>
      <c r="L266" s="144">
        <v>0</v>
      </c>
      <c r="M266" s="130"/>
      <c r="N266" s="130"/>
      <c r="O266" s="130"/>
      <c r="P266" s="240">
        <v>0</v>
      </c>
      <c r="Q266" s="233"/>
      <c r="R266" s="233"/>
      <c r="S266" s="233"/>
      <c r="T266" s="144">
        <f t="shared" si="177"/>
        <v>0</v>
      </c>
      <c r="U266" s="243">
        <f>I266+M266+Q266</f>
        <v>0</v>
      </c>
      <c r="V266" s="144">
        <f t="shared" si="177"/>
        <v>0</v>
      </c>
      <c r="W266" s="144">
        <f t="shared" si="177"/>
        <v>0</v>
      </c>
      <c r="X266" s="130"/>
      <c r="Y266" s="130"/>
      <c r="Z266" s="328"/>
    </row>
    <row r="267" spans="1:26">
      <c r="A267" s="316"/>
      <c r="B267" s="42" t="s">
        <v>39</v>
      </c>
      <c r="C267" s="400"/>
      <c r="D267" s="393"/>
      <c r="E267" s="393"/>
      <c r="F267" s="393"/>
      <c r="G267" s="145">
        <v>0</v>
      </c>
      <c r="H267" s="134"/>
      <c r="I267" s="134"/>
      <c r="J267" s="134"/>
      <c r="K267" s="134"/>
      <c r="L267" s="145">
        <v>0</v>
      </c>
      <c r="M267" s="134"/>
      <c r="N267" s="134"/>
      <c r="O267" s="134"/>
      <c r="P267" s="239">
        <v>0</v>
      </c>
      <c r="Q267" s="240"/>
      <c r="R267" s="240"/>
      <c r="S267" s="240"/>
      <c r="T267" s="145">
        <f t="shared" si="177"/>
        <v>0</v>
      </c>
      <c r="U267" s="244">
        <f>I267+M267+Q267</f>
        <v>0</v>
      </c>
      <c r="V267" s="145">
        <f t="shared" si="177"/>
        <v>0</v>
      </c>
      <c r="W267" s="145">
        <f t="shared" si="177"/>
        <v>0</v>
      </c>
      <c r="X267" s="134"/>
      <c r="Y267" s="134"/>
      <c r="Z267" s="393"/>
    </row>
    <row r="268" spans="1:26">
      <c r="A268" s="316"/>
      <c r="B268" s="39" t="s">
        <v>30</v>
      </c>
      <c r="C268" s="400"/>
      <c r="D268" s="393"/>
      <c r="E268" s="393"/>
      <c r="F268" s="393"/>
      <c r="G268" s="145">
        <v>0</v>
      </c>
      <c r="H268" s="134"/>
      <c r="I268" s="134"/>
      <c r="J268" s="134"/>
      <c r="K268" s="134"/>
      <c r="L268" s="145">
        <v>0</v>
      </c>
      <c r="M268" s="134"/>
      <c r="N268" s="134"/>
      <c r="O268" s="134"/>
      <c r="P268" s="239">
        <v>0</v>
      </c>
      <c r="Q268" s="240"/>
      <c r="R268" s="240"/>
      <c r="S268" s="240"/>
      <c r="T268" s="145">
        <f t="shared" si="177"/>
        <v>0</v>
      </c>
      <c r="U268" s="244">
        <f t="shared" ref="U268:U269" si="178">I268+M268+Q268</f>
        <v>0</v>
      </c>
      <c r="V268" s="145">
        <f t="shared" si="177"/>
        <v>0</v>
      </c>
      <c r="W268" s="145">
        <f t="shared" si="177"/>
        <v>0</v>
      </c>
      <c r="X268" s="134"/>
      <c r="Y268" s="134"/>
      <c r="Z268" s="393"/>
    </row>
    <row r="269" spans="1:26">
      <c r="A269" s="316"/>
      <c r="B269" s="39" t="s">
        <v>31</v>
      </c>
      <c r="C269" s="400"/>
      <c r="D269" s="393"/>
      <c r="E269" s="393"/>
      <c r="F269" s="393"/>
      <c r="G269" s="145">
        <v>0</v>
      </c>
      <c r="H269" s="134"/>
      <c r="I269" s="134"/>
      <c r="J269" s="134"/>
      <c r="K269" s="134"/>
      <c r="L269" s="145">
        <v>0</v>
      </c>
      <c r="M269" s="134"/>
      <c r="N269" s="134"/>
      <c r="O269" s="134"/>
      <c r="P269" s="239">
        <v>0</v>
      </c>
      <c r="Q269" s="240"/>
      <c r="R269" s="240"/>
      <c r="S269" s="240"/>
      <c r="T269" s="145">
        <f t="shared" si="177"/>
        <v>0</v>
      </c>
      <c r="U269" s="244">
        <f t="shared" si="178"/>
        <v>0</v>
      </c>
      <c r="V269" s="145">
        <f t="shared" si="177"/>
        <v>0</v>
      </c>
      <c r="W269" s="145">
        <f t="shared" si="177"/>
        <v>0</v>
      </c>
      <c r="X269" s="134"/>
      <c r="Y269" s="134"/>
      <c r="Z269" s="393"/>
    </row>
    <row r="270" spans="1:26">
      <c r="A270" s="316"/>
      <c r="B270" s="22" t="s">
        <v>35</v>
      </c>
      <c r="C270" s="400"/>
      <c r="D270" s="393"/>
      <c r="E270" s="393"/>
      <c r="F270" s="393"/>
      <c r="G270" s="144">
        <v>0</v>
      </c>
      <c r="H270" s="134"/>
      <c r="I270" s="134"/>
      <c r="J270" s="134"/>
      <c r="K270" s="134"/>
      <c r="L270" s="144">
        <v>0</v>
      </c>
      <c r="M270" s="134"/>
      <c r="N270" s="134"/>
      <c r="O270" s="134"/>
      <c r="P270" s="240">
        <v>0</v>
      </c>
      <c r="Q270" s="240"/>
      <c r="R270" s="240"/>
      <c r="S270" s="240"/>
      <c r="T270" s="144">
        <f t="shared" si="177"/>
        <v>0</v>
      </c>
      <c r="U270" s="243">
        <f>I270+M270+Q270</f>
        <v>0</v>
      </c>
      <c r="V270" s="144">
        <f t="shared" si="177"/>
        <v>0</v>
      </c>
      <c r="W270" s="144">
        <f t="shared" si="177"/>
        <v>0</v>
      </c>
      <c r="X270" s="134"/>
      <c r="Y270" s="134"/>
      <c r="Z270" s="393"/>
    </row>
    <row r="271" spans="1:26">
      <c r="A271" s="316"/>
      <c r="B271" s="22" t="s">
        <v>36</v>
      </c>
      <c r="C271" s="401"/>
      <c r="D271" s="392"/>
      <c r="E271" s="392"/>
      <c r="F271" s="392"/>
      <c r="G271" s="144">
        <v>0</v>
      </c>
      <c r="H271" s="134"/>
      <c r="I271" s="134"/>
      <c r="J271" s="134"/>
      <c r="K271" s="134"/>
      <c r="L271" s="144">
        <v>0</v>
      </c>
      <c r="M271" s="134"/>
      <c r="N271" s="134"/>
      <c r="O271" s="134"/>
      <c r="P271" s="240">
        <v>0</v>
      </c>
      <c r="Q271" s="240"/>
      <c r="R271" s="240"/>
      <c r="S271" s="240"/>
      <c r="T271" s="144">
        <f t="shared" si="177"/>
        <v>0</v>
      </c>
      <c r="U271" s="243">
        <f>I271+M271+Q271</f>
        <v>0</v>
      </c>
      <c r="V271" s="144">
        <f t="shared" si="177"/>
        <v>0</v>
      </c>
      <c r="W271" s="144">
        <f t="shared" si="177"/>
        <v>0</v>
      </c>
      <c r="X271" s="134"/>
      <c r="Y271" s="134"/>
      <c r="Z271" s="392"/>
    </row>
    <row r="272" spans="1:26" ht="18" hidden="1" customHeight="1">
      <c r="A272" s="315" t="s">
        <v>87</v>
      </c>
      <c r="B272" s="15"/>
      <c r="C272" s="330" t="s">
        <v>41</v>
      </c>
      <c r="D272" s="327" t="s">
        <v>6</v>
      </c>
      <c r="E272" s="300">
        <v>60</v>
      </c>
      <c r="F272" s="324" t="s">
        <v>17</v>
      </c>
      <c r="G272" s="24">
        <f>G273+G275+G277+G281+G282</f>
        <v>0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329"/>
    </row>
    <row r="273" spans="1:26" ht="12.75" hidden="1" customHeight="1">
      <c r="A273" s="316"/>
      <c r="B273" s="21" t="s">
        <v>26</v>
      </c>
      <c r="C273" s="331"/>
      <c r="D273" s="328"/>
      <c r="E273" s="393"/>
      <c r="F273" s="325"/>
      <c r="G273" s="285">
        <f>SUM(H273:Y273)</f>
        <v>0</v>
      </c>
      <c r="H273" s="285"/>
      <c r="I273" s="128"/>
      <c r="J273" s="128"/>
      <c r="K273" s="128"/>
      <c r="L273" s="128"/>
      <c r="M273" s="128"/>
      <c r="N273" s="128"/>
      <c r="O273" s="128"/>
      <c r="P273" s="231"/>
      <c r="Q273" s="231"/>
      <c r="R273" s="231"/>
      <c r="S273" s="231"/>
      <c r="T273" s="128"/>
      <c r="U273" s="137"/>
      <c r="V273" s="137"/>
      <c r="W273" s="137"/>
      <c r="X273" s="285"/>
      <c r="Y273" s="285"/>
      <c r="Z273" s="328"/>
    </row>
    <row r="274" spans="1:26" ht="12.75" hidden="1" customHeight="1">
      <c r="A274" s="316"/>
      <c r="B274" s="38" t="s">
        <v>25</v>
      </c>
      <c r="C274" s="331"/>
      <c r="D274" s="328"/>
      <c r="E274" s="393"/>
      <c r="F274" s="325"/>
      <c r="G274" s="392"/>
      <c r="H274" s="287"/>
      <c r="I274" s="130"/>
      <c r="J274" s="130"/>
      <c r="K274" s="130"/>
      <c r="L274" s="130"/>
      <c r="M274" s="130"/>
      <c r="N274" s="130"/>
      <c r="O274" s="130"/>
      <c r="P274" s="233"/>
      <c r="Q274" s="233"/>
      <c r="R274" s="233"/>
      <c r="S274" s="233"/>
      <c r="T274" s="130"/>
      <c r="U274" s="138"/>
      <c r="V274" s="138"/>
      <c r="W274" s="138"/>
      <c r="X274" s="287"/>
      <c r="Y274" s="287"/>
      <c r="Z274" s="328"/>
    </row>
    <row r="275" spans="1:26" ht="12.75" hidden="1" customHeight="1">
      <c r="A275" s="316"/>
      <c r="B275" s="22" t="s">
        <v>27</v>
      </c>
      <c r="C275" s="331"/>
      <c r="D275" s="328"/>
      <c r="E275" s="393"/>
      <c r="F275" s="325"/>
      <c r="G275" s="134">
        <f>SUM(G276)</f>
        <v>0</v>
      </c>
      <c r="H275" s="130"/>
      <c r="I275" s="130"/>
      <c r="J275" s="130"/>
      <c r="K275" s="130"/>
      <c r="L275" s="130"/>
      <c r="M275" s="130"/>
      <c r="N275" s="130"/>
      <c r="O275" s="130"/>
      <c r="P275" s="233"/>
      <c r="Q275" s="233"/>
      <c r="R275" s="233"/>
      <c r="S275" s="233"/>
      <c r="T275" s="130"/>
      <c r="U275" s="138"/>
      <c r="V275" s="138"/>
      <c r="W275" s="138"/>
      <c r="X275" s="130"/>
      <c r="Y275" s="130"/>
      <c r="Z275" s="328"/>
    </row>
    <row r="276" spans="1:26" ht="12.75" hidden="1" customHeight="1">
      <c r="A276" s="316"/>
      <c r="B276" s="42" t="s">
        <v>37</v>
      </c>
      <c r="C276" s="331"/>
      <c r="D276" s="328"/>
      <c r="E276" s="393"/>
      <c r="F276" s="325"/>
      <c r="G276" s="133">
        <f>SUM(H276:Y276)</f>
        <v>0</v>
      </c>
      <c r="H276" s="130"/>
      <c r="I276" s="130"/>
      <c r="J276" s="130"/>
      <c r="K276" s="130"/>
      <c r="L276" s="130"/>
      <c r="M276" s="130"/>
      <c r="N276" s="130"/>
      <c r="O276" s="130"/>
      <c r="P276" s="233"/>
      <c r="Q276" s="233"/>
      <c r="R276" s="233"/>
      <c r="S276" s="233"/>
      <c r="T276" s="130"/>
      <c r="U276" s="138"/>
      <c r="V276" s="138"/>
      <c r="W276" s="138"/>
      <c r="X276" s="130"/>
      <c r="Y276" s="130"/>
      <c r="Z276" s="328"/>
    </row>
    <row r="277" spans="1:26" ht="12.75" hidden="1" customHeight="1">
      <c r="A277" s="316"/>
      <c r="B277" s="22" t="s">
        <v>28</v>
      </c>
      <c r="C277" s="331"/>
      <c r="D277" s="328"/>
      <c r="E277" s="393"/>
      <c r="F277" s="325"/>
      <c r="G277" s="134">
        <f>SUM(G278:G280)</f>
        <v>0</v>
      </c>
      <c r="H277" s="130"/>
      <c r="I277" s="130"/>
      <c r="J277" s="130"/>
      <c r="K277" s="130"/>
      <c r="L277" s="130"/>
      <c r="M277" s="130"/>
      <c r="N277" s="130"/>
      <c r="O277" s="130"/>
      <c r="P277" s="233"/>
      <c r="Q277" s="233"/>
      <c r="R277" s="233"/>
      <c r="S277" s="233"/>
      <c r="T277" s="130"/>
      <c r="U277" s="138"/>
      <c r="V277" s="138"/>
      <c r="W277" s="138"/>
      <c r="X277" s="130"/>
      <c r="Y277" s="130"/>
      <c r="Z277" s="328"/>
    </row>
    <row r="278" spans="1:26" ht="12.75" hidden="1" customHeight="1">
      <c r="A278" s="316"/>
      <c r="B278" s="42" t="s">
        <v>39</v>
      </c>
      <c r="C278" s="400"/>
      <c r="D278" s="393"/>
      <c r="E278" s="393"/>
      <c r="F278" s="393"/>
      <c r="G278" s="133">
        <f>SUM(H278:Y278)</f>
        <v>0</v>
      </c>
      <c r="H278" s="134"/>
      <c r="I278" s="134"/>
      <c r="J278" s="134"/>
      <c r="K278" s="134"/>
      <c r="L278" s="134"/>
      <c r="M278" s="134"/>
      <c r="N278" s="134"/>
      <c r="O278" s="134"/>
      <c r="P278" s="240"/>
      <c r="Q278" s="240"/>
      <c r="R278" s="240"/>
      <c r="S278" s="240"/>
      <c r="T278" s="134"/>
      <c r="U278" s="144"/>
      <c r="V278" s="144"/>
      <c r="W278" s="144"/>
      <c r="X278" s="134"/>
      <c r="Y278" s="134"/>
      <c r="Z278" s="393"/>
    </row>
    <row r="279" spans="1:26" ht="12.75" hidden="1" customHeight="1">
      <c r="A279" s="316"/>
      <c r="B279" s="39" t="s">
        <v>30</v>
      </c>
      <c r="C279" s="400"/>
      <c r="D279" s="393"/>
      <c r="E279" s="393"/>
      <c r="F279" s="393"/>
      <c r="G279" s="133">
        <f>SUM(H279:Y279)</f>
        <v>0</v>
      </c>
      <c r="H279" s="134"/>
      <c r="I279" s="134"/>
      <c r="J279" s="134"/>
      <c r="K279" s="134"/>
      <c r="L279" s="134"/>
      <c r="M279" s="134"/>
      <c r="N279" s="134"/>
      <c r="O279" s="134"/>
      <c r="P279" s="240"/>
      <c r="Q279" s="240"/>
      <c r="R279" s="240"/>
      <c r="S279" s="240"/>
      <c r="T279" s="134"/>
      <c r="U279" s="144"/>
      <c r="V279" s="144"/>
      <c r="W279" s="144"/>
      <c r="X279" s="134"/>
      <c r="Y279" s="134"/>
      <c r="Z279" s="393"/>
    </row>
    <row r="280" spans="1:26" ht="12.75" hidden="1" customHeight="1">
      <c r="A280" s="316"/>
      <c r="B280" s="39" t="s">
        <v>31</v>
      </c>
      <c r="C280" s="400"/>
      <c r="D280" s="393"/>
      <c r="E280" s="393"/>
      <c r="F280" s="393"/>
      <c r="G280" s="133">
        <f>SUM(H280:Y280)</f>
        <v>0</v>
      </c>
      <c r="H280" s="134"/>
      <c r="I280" s="134"/>
      <c r="J280" s="134"/>
      <c r="K280" s="134"/>
      <c r="L280" s="134"/>
      <c r="M280" s="134"/>
      <c r="N280" s="134"/>
      <c r="O280" s="134"/>
      <c r="P280" s="240"/>
      <c r="Q280" s="240"/>
      <c r="R280" s="240"/>
      <c r="S280" s="240"/>
      <c r="T280" s="134"/>
      <c r="U280" s="144"/>
      <c r="V280" s="144"/>
      <c r="W280" s="144"/>
      <c r="X280" s="134"/>
      <c r="Y280" s="134"/>
      <c r="Z280" s="393"/>
    </row>
    <row r="281" spans="1:26" ht="12.75" hidden="1" customHeight="1">
      <c r="A281" s="316"/>
      <c r="B281" s="22" t="s">
        <v>35</v>
      </c>
      <c r="C281" s="400"/>
      <c r="D281" s="393"/>
      <c r="E281" s="393"/>
      <c r="F281" s="393"/>
      <c r="G281" s="134">
        <f>SUM(H281:Y281)</f>
        <v>0</v>
      </c>
      <c r="H281" s="134"/>
      <c r="I281" s="134"/>
      <c r="J281" s="134"/>
      <c r="K281" s="134"/>
      <c r="L281" s="134"/>
      <c r="M281" s="134"/>
      <c r="N281" s="134"/>
      <c r="O281" s="134"/>
      <c r="P281" s="240"/>
      <c r="Q281" s="240"/>
      <c r="R281" s="240"/>
      <c r="S281" s="240"/>
      <c r="T281" s="134"/>
      <c r="U281" s="144"/>
      <c r="V281" s="144"/>
      <c r="W281" s="144"/>
      <c r="X281" s="134"/>
      <c r="Y281" s="134"/>
      <c r="Z281" s="393"/>
    </row>
    <row r="282" spans="1:26" ht="12.75" hidden="1" customHeight="1">
      <c r="A282" s="316"/>
      <c r="B282" s="22" t="s">
        <v>36</v>
      </c>
      <c r="C282" s="401"/>
      <c r="D282" s="392"/>
      <c r="E282" s="392"/>
      <c r="F282" s="392"/>
      <c r="G282" s="134">
        <f>SUM(H282:Y282)</f>
        <v>0</v>
      </c>
      <c r="H282" s="134"/>
      <c r="I282" s="134"/>
      <c r="J282" s="134"/>
      <c r="K282" s="134"/>
      <c r="L282" s="134"/>
      <c r="M282" s="134"/>
      <c r="N282" s="134"/>
      <c r="O282" s="134"/>
      <c r="P282" s="240"/>
      <c r="Q282" s="240"/>
      <c r="R282" s="240"/>
      <c r="S282" s="240"/>
      <c r="T282" s="134"/>
      <c r="U282" s="144"/>
      <c r="V282" s="144"/>
      <c r="W282" s="144"/>
      <c r="X282" s="134"/>
      <c r="Y282" s="134"/>
      <c r="Z282" s="392"/>
    </row>
    <row r="283" spans="1:26" ht="39" customHeight="1">
      <c r="A283" s="315" t="s">
        <v>73</v>
      </c>
      <c r="B283" s="15" t="s">
        <v>141</v>
      </c>
      <c r="C283" s="330" t="s">
        <v>41</v>
      </c>
      <c r="D283" s="327" t="s">
        <v>7</v>
      </c>
      <c r="E283" s="300">
        <v>14.5</v>
      </c>
      <c r="F283" s="324" t="s">
        <v>16</v>
      </c>
      <c r="G283" s="24">
        <f>G284+G288+G290+G294+G295</f>
        <v>18317.900000000001</v>
      </c>
      <c r="H283" s="24">
        <f>H284+H288+H290+H294+H295</f>
        <v>0</v>
      </c>
      <c r="I283" s="25"/>
      <c r="J283" s="25"/>
      <c r="K283" s="25"/>
      <c r="L283" s="24">
        <f t="shared" ref="L283:S283" si="179">L284+L288+L290+L294+L295</f>
        <v>18317.900000000001</v>
      </c>
      <c r="M283" s="24">
        <f t="shared" si="179"/>
        <v>291.62599999999998</v>
      </c>
      <c r="N283" s="24">
        <f t="shared" si="179"/>
        <v>291.62599999999998</v>
      </c>
      <c r="O283" s="24">
        <f t="shared" si="179"/>
        <v>291.62599999999998</v>
      </c>
      <c r="P283" s="24">
        <f t="shared" si="179"/>
        <v>0</v>
      </c>
      <c r="Q283" s="24">
        <f t="shared" si="179"/>
        <v>0</v>
      </c>
      <c r="R283" s="24">
        <f t="shared" si="179"/>
        <v>0</v>
      </c>
      <c r="S283" s="24">
        <f t="shared" si="179"/>
        <v>0</v>
      </c>
      <c r="T283" s="24">
        <f>H283+L283</f>
        <v>18317.900000000001</v>
      </c>
      <c r="U283" s="24">
        <f>I283+M283+Q283</f>
        <v>291.62599999999998</v>
      </c>
      <c r="V283" s="24">
        <f t="shared" ref="V283:W284" si="180">J283+N283+R283</f>
        <v>291.62599999999998</v>
      </c>
      <c r="W283" s="24">
        <f t="shared" si="180"/>
        <v>291.62599999999998</v>
      </c>
      <c r="X283" s="25"/>
      <c r="Y283" s="25"/>
      <c r="Z283" s="329"/>
    </row>
    <row r="284" spans="1:26">
      <c r="A284" s="316"/>
      <c r="B284" s="21" t="s">
        <v>123</v>
      </c>
      <c r="C284" s="331"/>
      <c r="D284" s="328"/>
      <c r="E284" s="393"/>
      <c r="F284" s="325"/>
      <c r="G284" s="285">
        <v>18317.900000000001</v>
      </c>
      <c r="H284" s="285"/>
      <c r="I284" s="128"/>
      <c r="J284" s="128"/>
      <c r="K284" s="128"/>
      <c r="L284" s="285">
        <v>18317.900000000001</v>
      </c>
      <c r="M284" s="285">
        <f>SUM(M286:M287)</f>
        <v>291.62599999999998</v>
      </c>
      <c r="N284" s="285">
        <f t="shared" ref="N284:O284" si="181">SUM(N286:N287)</f>
        <v>291.62599999999998</v>
      </c>
      <c r="O284" s="285">
        <f t="shared" si="181"/>
        <v>291.62599999999998</v>
      </c>
      <c r="P284" s="285">
        <v>0</v>
      </c>
      <c r="Q284" s="285">
        <f>SUM(Q286:Q287)</f>
        <v>0</v>
      </c>
      <c r="R284" s="285">
        <f t="shared" ref="R284:S284" si="182">SUM(R286:R287)</f>
        <v>0</v>
      </c>
      <c r="S284" s="285">
        <f t="shared" si="182"/>
        <v>0</v>
      </c>
      <c r="T284" s="285">
        <f t="shared" ref="T284:U285" si="183">H284+L284</f>
        <v>18317.900000000001</v>
      </c>
      <c r="U284" s="285">
        <f>I284+M284+Q284</f>
        <v>291.62599999999998</v>
      </c>
      <c r="V284" s="285">
        <f t="shared" si="180"/>
        <v>291.62599999999998</v>
      </c>
      <c r="W284" s="285">
        <f t="shared" si="180"/>
        <v>291.62599999999998</v>
      </c>
      <c r="X284" s="285">
        <v>18317.900000000001</v>
      </c>
      <c r="Y284" s="285"/>
      <c r="Z284" s="328"/>
    </row>
    <row r="285" spans="1:26">
      <c r="A285" s="316"/>
      <c r="B285" s="38" t="s">
        <v>25</v>
      </c>
      <c r="C285" s="331"/>
      <c r="D285" s="328"/>
      <c r="E285" s="393"/>
      <c r="F285" s="325"/>
      <c r="G285" s="392"/>
      <c r="H285" s="287"/>
      <c r="I285" s="130"/>
      <c r="J285" s="130"/>
      <c r="K285" s="130"/>
      <c r="L285" s="287"/>
      <c r="M285" s="287"/>
      <c r="N285" s="287"/>
      <c r="O285" s="287"/>
      <c r="P285" s="287"/>
      <c r="Q285" s="287"/>
      <c r="R285" s="287"/>
      <c r="S285" s="287"/>
      <c r="T285" s="287">
        <f t="shared" si="183"/>
        <v>0</v>
      </c>
      <c r="U285" s="287">
        <f t="shared" si="183"/>
        <v>0</v>
      </c>
      <c r="V285" s="287">
        <f t="shared" ref="V285" si="184">J285+N285</f>
        <v>0</v>
      </c>
      <c r="W285" s="287">
        <f t="shared" ref="W285" si="185">K285+O285</f>
        <v>0</v>
      </c>
      <c r="X285" s="287"/>
      <c r="Y285" s="287"/>
      <c r="Z285" s="328"/>
    </row>
    <row r="286" spans="1:26" s="163" customFormat="1" ht="13.5" hidden="1">
      <c r="A286" s="316"/>
      <c r="B286" s="109" t="s">
        <v>205</v>
      </c>
      <c r="C286" s="331"/>
      <c r="D286" s="328"/>
      <c r="E286" s="393"/>
      <c r="F286" s="325"/>
      <c r="G286" s="162"/>
      <c r="H286" s="112"/>
      <c r="I286" s="112"/>
      <c r="J286" s="112"/>
      <c r="K286" s="112"/>
      <c r="L286" s="112"/>
      <c r="M286" s="111">
        <f>115.456+23.6</f>
        <v>139.05600000000001</v>
      </c>
      <c r="N286" s="111">
        <f>34.637+80.819+7.08+16.52</f>
        <v>139.05600000000001</v>
      </c>
      <c r="O286" s="111">
        <f>34.637+80.819+7.08+16.52</f>
        <v>139.05600000000001</v>
      </c>
      <c r="P286" s="112"/>
      <c r="Q286" s="111"/>
      <c r="R286" s="111"/>
      <c r="S286" s="111"/>
      <c r="T286" s="112"/>
      <c r="U286" s="112">
        <f>I286+M286+Q286</f>
        <v>139.05600000000001</v>
      </c>
      <c r="V286" s="112"/>
      <c r="W286" s="112"/>
      <c r="X286" s="112"/>
      <c r="Y286" s="112"/>
      <c r="Z286" s="328"/>
    </row>
    <row r="287" spans="1:26" s="163" customFormat="1" ht="13.5" hidden="1">
      <c r="A287" s="316"/>
      <c r="B287" s="109" t="s">
        <v>215</v>
      </c>
      <c r="C287" s="331"/>
      <c r="D287" s="328"/>
      <c r="E287" s="393"/>
      <c r="F287" s="325"/>
      <c r="G287" s="162"/>
      <c r="H287" s="112"/>
      <c r="I287" s="112"/>
      <c r="J287" s="112"/>
      <c r="K287" s="112"/>
      <c r="L287" s="112"/>
      <c r="M287" s="111">
        <v>152.57</v>
      </c>
      <c r="N287" s="111">
        <f>45.771+30.514+76.285</f>
        <v>152.57</v>
      </c>
      <c r="O287" s="111">
        <f>45.771+30.514+76.285</f>
        <v>152.57</v>
      </c>
      <c r="P287" s="112"/>
      <c r="Q287" s="111"/>
      <c r="R287" s="111"/>
      <c r="S287" s="111"/>
      <c r="T287" s="112"/>
      <c r="U287" s="112">
        <f t="shared" ref="U287" si="186">I287+M287+Q287</f>
        <v>152.57</v>
      </c>
      <c r="V287" s="112"/>
      <c r="W287" s="112"/>
      <c r="X287" s="112"/>
      <c r="Y287" s="112"/>
      <c r="Z287" s="328"/>
    </row>
    <row r="288" spans="1:26">
      <c r="A288" s="316"/>
      <c r="B288" s="22" t="s">
        <v>27</v>
      </c>
      <c r="C288" s="331"/>
      <c r="D288" s="328"/>
      <c r="E288" s="393"/>
      <c r="F288" s="325"/>
      <c r="G288" s="144">
        <v>0</v>
      </c>
      <c r="H288" s="130"/>
      <c r="I288" s="130"/>
      <c r="J288" s="130"/>
      <c r="K288" s="130"/>
      <c r="L288" s="144">
        <v>0</v>
      </c>
      <c r="M288" s="130"/>
      <c r="N288" s="130"/>
      <c r="O288" s="130"/>
      <c r="P288" s="240">
        <v>0</v>
      </c>
      <c r="Q288" s="233"/>
      <c r="R288" s="233"/>
      <c r="S288" s="233"/>
      <c r="T288" s="144">
        <f>H288+L288</f>
        <v>0</v>
      </c>
      <c r="U288" s="243">
        <f>I288+M288+Q288</f>
        <v>0</v>
      </c>
      <c r="V288" s="144">
        <f>J288+N288</f>
        <v>0</v>
      </c>
      <c r="W288" s="144">
        <f>K288+O288</f>
        <v>0</v>
      </c>
      <c r="X288" s="130"/>
      <c r="Y288" s="130"/>
      <c r="Z288" s="328"/>
    </row>
    <row r="289" spans="1:26">
      <c r="A289" s="316"/>
      <c r="B289" s="42" t="s">
        <v>37</v>
      </c>
      <c r="C289" s="331"/>
      <c r="D289" s="328"/>
      <c r="E289" s="393"/>
      <c r="F289" s="325"/>
      <c r="G289" s="145">
        <v>0</v>
      </c>
      <c r="H289" s="130"/>
      <c r="I289" s="130"/>
      <c r="J289" s="130"/>
      <c r="K289" s="130"/>
      <c r="L289" s="145">
        <v>0</v>
      </c>
      <c r="M289" s="130"/>
      <c r="N289" s="130"/>
      <c r="O289" s="130"/>
      <c r="P289" s="239">
        <v>0</v>
      </c>
      <c r="Q289" s="233"/>
      <c r="R289" s="233"/>
      <c r="S289" s="233"/>
      <c r="T289" s="145">
        <f t="shared" ref="T289:W295" si="187">H289+L289</f>
        <v>0</v>
      </c>
      <c r="U289" s="244">
        <f>I289+M289+Q289</f>
        <v>0</v>
      </c>
      <c r="V289" s="145">
        <f t="shared" si="187"/>
        <v>0</v>
      </c>
      <c r="W289" s="145">
        <f t="shared" si="187"/>
        <v>0</v>
      </c>
      <c r="X289" s="130"/>
      <c r="Y289" s="130"/>
      <c r="Z289" s="328"/>
    </row>
    <row r="290" spans="1:26">
      <c r="A290" s="316"/>
      <c r="B290" s="22" t="s">
        <v>28</v>
      </c>
      <c r="C290" s="331"/>
      <c r="D290" s="328"/>
      <c r="E290" s="393"/>
      <c r="F290" s="325"/>
      <c r="G290" s="144">
        <v>0</v>
      </c>
      <c r="H290" s="130"/>
      <c r="I290" s="130"/>
      <c r="J290" s="130"/>
      <c r="K290" s="130"/>
      <c r="L290" s="144">
        <v>0</v>
      </c>
      <c r="M290" s="130"/>
      <c r="N290" s="130"/>
      <c r="O290" s="130"/>
      <c r="P290" s="240">
        <v>0</v>
      </c>
      <c r="Q290" s="233"/>
      <c r="R290" s="233"/>
      <c r="S290" s="233"/>
      <c r="T290" s="144">
        <f t="shared" si="187"/>
        <v>0</v>
      </c>
      <c r="U290" s="243">
        <f>I290+M290+Q290</f>
        <v>0</v>
      </c>
      <c r="V290" s="144">
        <f t="shared" si="187"/>
        <v>0</v>
      </c>
      <c r="W290" s="144">
        <f t="shared" si="187"/>
        <v>0</v>
      </c>
      <c r="X290" s="130"/>
      <c r="Y290" s="130"/>
      <c r="Z290" s="328"/>
    </row>
    <row r="291" spans="1:26">
      <c r="A291" s="316"/>
      <c r="B291" s="42" t="s">
        <v>39</v>
      </c>
      <c r="C291" s="400"/>
      <c r="D291" s="393"/>
      <c r="E291" s="393"/>
      <c r="F291" s="393"/>
      <c r="G291" s="145">
        <v>0</v>
      </c>
      <c r="H291" s="134"/>
      <c r="I291" s="134"/>
      <c r="J291" s="134"/>
      <c r="K291" s="134"/>
      <c r="L291" s="145">
        <v>0</v>
      </c>
      <c r="M291" s="134"/>
      <c r="N291" s="134"/>
      <c r="O291" s="134"/>
      <c r="P291" s="239">
        <v>0</v>
      </c>
      <c r="Q291" s="240"/>
      <c r="R291" s="240"/>
      <c r="S291" s="240"/>
      <c r="T291" s="145">
        <f t="shared" si="187"/>
        <v>0</v>
      </c>
      <c r="U291" s="244">
        <f>I291+M291+Q291</f>
        <v>0</v>
      </c>
      <c r="V291" s="145">
        <f t="shared" si="187"/>
        <v>0</v>
      </c>
      <c r="W291" s="145">
        <f t="shared" si="187"/>
        <v>0</v>
      </c>
      <c r="X291" s="134"/>
      <c r="Y291" s="134"/>
      <c r="Z291" s="393"/>
    </row>
    <row r="292" spans="1:26">
      <c r="A292" s="316"/>
      <c r="B292" s="39" t="s">
        <v>30</v>
      </c>
      <c r="C292" s="400"/>
      <c r="D292" s="393"/>
      <c r="E292" s="393"/>
      <c r="F292" s="393"/>
      <c r="G292" s="145">
        <v>0</v>
      </c>
      <c r="H292" s="134"/>
      <c r="I292" s="134"/>
      <c r="J292" s="134"/>
      <c r="K292" s="134"/>
      <c r="L292" s="145">
        <v>0</v>
      </c>
      <c r="M292" s="134"/>
      <c r="N292" s="134"/>
      <c r="O292" s="134"/>
      <c r="P292" s="239">
        <v>0</v>
      </c>
      <c r="Q292" s="240"/>
      <c r="R292" s="240"/>
      <c r="S292" s="240"/>
      <c r="T292" s="145">
        <f t="shared" si="187"/>
        <v>0</v>
      </c>
      <c r="U292" s="244">
        <f t="shared" ref="U292:U293" si="188">I292+M292+Q292</f>
        <v>0</v>
      </c>
      <c r="V292" s="145">
        <f t="shared" si="187"/>
        <v>0</v>
      </c>
      <c r="W292" s="145">
        <f t="shared" si="187"/>
        <v>0</v>
      </c>
      <c r="X292" s="134"/>
      <c r="Y292" s="134"/>
      <c r="Z292" s="393"/>
    </row>
    <row r="293" spans="1:26">
      <c r="A293" s="316"/>
      <c r="B293" s="39" t="s">
        <v>31</v>
      </c>
      <c r="C293" s="400"/>
      <c r="D293" s="393"/>
      <c r="E293" s="393"/>
      <c r="F293" s="393"/>
      <c r="G293" s="145">
        <v>0</v>
      </c>
      <c r="H293" s="134"/>
      <c r="I293" s="134"/>
      <c r="J293" s="134"/>
      <c r="K293" s="134"/>
      <c r="L293" s="145">
        <v>0</v>
      </c>
      <c r="M293" s="134"/>
      <c r="N293" s="134"/>
      <c r="O293" s="134"/>
      <c r="P293" s="239">
        <v>0</v>
      </c>
      <c r="Q293" s="240"/>
      <c r="R293" s="240"/>
      <c r="S293" s="240"/>
      <c r="T293" s="145">
        <f t="shared" si="187"/>
        <v>0</v>
      </c>
      <c r="U293" s="244">
        <f t="shared" si="188"/>
        <v>0</v>
      </c>
      <c r="V293" s="145">
        <f t="shared" si="187"/>
        <v>0</v>
      </c>
      <c r="W293" s="145">
        <f t="shared" si="187"/>
        <v>0</v>
      </c>
      <c r="X293" s="134"/>
      <c r="Y293" s="134"/>
      <c r="Z293" s="393"/>
    </row>
    <row r="294" spans="1:26">
      <c r="A294" s="316"/>
      <c r="B294" s="22" t="s">
        <v>35</v>
      </c>
      <c r="C294" s="400"/>
      <c r="D294" s="393"/>
      <c r="E294" s="393"/>
      <c r="F294" s="393"/>
      <c r="G294" s="144">
        <v>0</v>
      </c>
      <c r="H294" s="134"/>
      <c r="I294" s="134"/>
      <c r="J294" s="134"/>
      <c r="K294" s="134"/>
      <c r="L294" s="144">
        <v>0</v>
      </c>
      <c r="M294" s="134"/>
      <c r="N294" s="134"/>
      <c r="O294" s="134"/>
      <c r="P294" s="240">
        <v>0</v>
      </c>
      <c r="Q294" s="240"/>
      <c r="R294" s="240"/>
      <c r="S294" s="240"/>
      <c r="T294" s="144">
        <f t="shared" si="187"/>
        <v>0</v>
      </c>
      <c r="U294" s="243">
        <f>I294+M294+Q294</f>
        <v>0</v>
      </c>
      <c r="V294" s="144">
        <f t="shared" si="187"/>
        <v>0</v>
      </c>
      <c r="W294" s="144">
        <f t="shared" si="187"/>
        <v>0</v>
      </c>
      <c r="X294" s="134"/>
      <c r="Y294" s="134"/>
      <c r="Z294" s="393"/>
    </row>
    <row r="295" spans="1:26">
      <c r="A295" s="316"/>
      <c r="B295" s="22" t="s">
        <v>36</v>
      </c>
      <c r="C295" s="401"/>
      <c r="D295" s="392"/>
      <c r="E295" s="392"/>
      <c r="F295" s="392"/>
      <c r="G295" s="144">
        <v>0</v>
      </c>
      <c r="H295" s="134"/>
      <c r="I295" s="134"/>
      <c r="J295" s="134"/>
      <c r="K295" s="134"/>
      <c r="L295" s="144">
        <v>0</v>
      </c>
      <c r="M295" s="134"/>
      <c r="N295" s="134"/>
      <c r="O295" s="134"/>
      <c r="P295" s="240">
        <v>0</v>
      </c>
      <c r="Q295" s="240"/>
      <c r="R295" s="240"/>
      <c r="S295" s="240"/>
      <c r="T295" s="144">
        <f t="shared" si="187"/>
        <v>0</v>
      </c>
      <c r="U295" s="243">
        <f>I295+M295+Q295</f>
        <v>0</v>
      </c>
      <c r="V295" s="144">
        <f t="shared" si="187"/>
        <v>0</v>
      </c>
      <c r="W295" s="144">
        <f t="shared" si="187"/>
        <v>0</v>
      </c>
      <c r="X295" s="134"/>
      <c r="Y295" s="134"/>
      <c r="Z295" s="392"/>
    </row>
    <row r="296" spans="1:26" ht="18.75" customHeight="1">
      <c r="A296" s="315" t="s">
        <v>87</v>
      </c>
      <c r="B296" s="64" t="s">
        <v>109</v>
      </c>
      <c r="C296" s="330" t="s">
        <v>41</v>
      </c>
      <c r="D296" s="327" t="s">
        <v>117</v>
      </c>
      <c r="E296" s="300"/>
      <c r="F296" s="324" t="s">
        <v>17</v>
      </c>
      <c r="G296" s="24">
        <f>G297+G299+G301+G305+G306</f>
        <v>486.8</v>
      </c>
      <c r="H296" s="24">
        <f>H297+H299+H301+H305+H306</f>
        <v>0</v>
      </c>
      <c r="I296" s="25"/>
      <c r="J296" s="25"/>
      <c r="K296" s="25"/>
      <c r="L296" s="24">
        <f>L297+L299+L301+L305+L306</f>
        <v>486.8</v>
      </c>
      <c r="M296" s="25">
        <v>0</v>
      </c>
      <c r="N296" s="25">
        <v>0</v>
      </c>
      <c r="O296" s="25">
        <v>0</v>
      </c>
      <c r="P296" s="24">
        <f>P297+P299+P301+P305+P306</f>
        <v>0</v>
      </c>
      <c r="Q296" s="25">
        <v>0</v>
      </c>
      <c r="R296" s="25">
        <v>0</v>
      </c>
      <c r="S296" s="25">
        <v>0</v>
      </c>
      <c r="T296" s="24">
        <f>H296+L296</f>
        <v>486.8</v>
      </c>
      <c r="U296" s="24">
        <f>I296+M296+Q296</f>
        <v>0</v>
      </c>
      <c r="V296" s="24">
        <f t="shared" ref="V296:W297" si="189">J296+N296+R296</f>
        <v>0</v>
      </c>
      <c r="W296" s="24">
        <f t="shared" si="189"/>
        <v>0</v>
      </c>
      <c r="X296" s="25"/>
      <c r="Y296" s="25"/>
      <c r="Z296" s="329"/>
    </row>
    <row r="297" spans="1:26">
      <c r="A297" s="316"/>
      <c r="B297" s="21" t="s">
        <v>123</v>
      </c>
      <c r="C297" s="331"/>
      <c r="D297" s="328"/>
      <c r="E297" s="393"/>
      <c r="F297" s="325"/>
      <c r="G297" s="285">
        <v>486.8</v>
      </c>
      <c r="H297" s="285"/>
      <c r="I297" s="128"/>
      <c r="J297" s="128"/>
      <c r="K297" s="128"/>
      <c r="L297" s="285">
        <v>486.8</v>
      </c>
      <c r="M297" s="128"/>
      <c r="N297" s="128"/>
      <c r="O297" s="128"/>
      <c r="P297" s="285">
        <v>0</v>
      </c>
      <c r="Q297" s="285">
        <v>0</v>
      </c>
      <c r="R297" s="285">
        <v>0</v>
      </c>
      <c r="S297" s="285">
        <v>0</v>
      </c>
      <c r="T297" s="285">
        <f t="shared" ref="T297:U298" si="190">H297+L297</f>
        <v>486.8</v>
      </c>
      <c r="U297" s="285">
        <f>I297+M297+Q297</f>
        <v>0</v>
      </c>
      <c r="V297" s="285">
        <f t="shared" si="189"/>
        <v>0</v>
      </c>
      <c r="W297" s="285">
        <f t="shared" si="189"/>
        <v>0</v>
      </c>
      <c r="X297" s="285">
        <v>486.8</v>
      </c>
      <c r="Y297" s="285"/>
      <c r="Z297" s="328"/>
    </row>
    <row r="298" spans="1:26">
      <c r="A298" s="316"/>
      <c r="B298" s="38" t="s">
        <v>25</v>
      </c>
      <c r="C298" s="331"/>
      <c r="D298" s="328"/>
      <c r="E298" s="393"/>
      <c r="F298" s="325"/>
      <c r="G298" s="287"/>
      <c r="H298" s="287"/>
      <c r="I298" s="130"/>
      <c r="J298" s="130"/>
      <c r="K298" s="130"/>
      <c r="L298" s="287"/>
      <c r="M298" s="130"/>
      <c r="N298" s="130"/>
      <c r="O298" s="130"/>
      <c r="P298" s="287"/>
      <c r="Q298" s="287"/>
      <c r="R298" s="287"/>
      <c r="S298" s="287"/>
      <c r="T298" s="287">
        <f t="shared" si="190"/>
        <v>0</v>
      </c>
      <c r="U298" s="287">
        <f t="shared" si="190"/>
        <v>0</v>
      </c>
      <c r="V298" s="287">
        <f t="shared" ref="V298" si="191">J298+N298</f>
        <v>0</v>
      </c>
      <c r="W298" s="287">
        <f t="shared" ref="W298" si="192">K298+O298</f>
        <v>0</v>
      </c>
      <c r="X298" s="287"/>
      <c r="Y298" s="287"/>
      <c r="Z298" s="328"/>
    </row>
    <row r="299" spans="1:26">
      <c r="A299" s="316"/>
      <c r="B299" s="22" t="s">
        <v>27</v>
      </c>
      <c r="C299" s="331"/>
      <c r="D299" s="328"/>
      <c r="E299" s="393"/>
      <c r="F299" s="325"/>
      <c r="G299" s="144">
        <v>0</v>
      </c>
      <c r="H299" s="130"/>
      <c r="I299" s="130"/>
      <c r="J299" s="130"/>
      <c r="K299" s="130"/>
      <c r="L299" s="144">
        <v>0</v>
      </c>
      <c r="M299" s="130"/>
      <c r="N299" s="130"/>
      <c r="O299" s="130"/>
      <c r="P299" s="240">
        <v>0</v>
      </c>
      <c r="Q299" s="233"/>
      <c r="R299" s="233"/>
      <c r="S299" s="233"/>
      <c r="T299" s="144">
        <f>H299+L299</f>
        <v>0</v>
      </c>
      <c r="U299" s="243">
        <f>I299+M299+Q299</f>
        <v>0</v>
      </c>
      <c r="V299" s="144">
        <f>J299+N299</f>
        <v>0</v>
      </c>
      <c r="W299" s="144">
        <f>K299+O299</f>
        <v>0</v>
      </c>
      <c r="X299" s="130"/>
      <c r="Y299" s="130"/>
      <c r="Z299" s="328"/>
    </row>
    <row r="300" spans="1:26">
      <c r="A300" s="316"/>
      <c r="B300" s="42" t="s">
        <v>37</v>
      </c>
      <c r="C300" s="331"/>
      <c r="D300" s="328"/>
      <c r="E300" s="393"/>
      <c r="F300" s="325"/>
      <c r="G300" s="145">
        <v>0</v>
      </c>
      <c r="H300" s="130"/>
      <c r="I300" s="130"/>
      <c r="J300" s="130"/>
      <c r="K300" s="130"/>
      <c r="L300" s="145">
        <v>0</v>
      </c>
      <c r="M300" s="130"/>
      <c r="N300" s="130"/>
      <c r="O300" s="130"/>
      <c r="P300" s="239">
        <v>0</v>
      </c>
      <c r="Q300" s="233"/>
      <c r="R300" s="233"/>
      <c r="S300" s="233"/>
      <c r="T300" s="145">
        <f t="shared" ref="T300:W306" si="193">H300+L300</f>
        <v>0</v>
      </c>
      <c r="U300" s="244">
        <f>I300+M300+Q300</f>
        <v>0</v>
      </c>
      <c r="V300" s="145">
        <f t="shared" si="193"/>
        <v>0</v>
      </c>
      <c r="W300" s="145">
        <f t="shared" si="193"/>
        <v>0</v>
      </c>
      <c r="X300" s="130"/>
      <c r="Y300" s="130"/>
      <c r="Z300" s="328"/>
    </row>
    <row r="301" spans="1:26">
      <c r="A301" s="316"/>
      <c r="B301" s="22" t="s">
        <v>28</v>
      </c>
      <c r="C301" s="331"/>
      <c r="D301" s="328"/>
      <c r="E301" s="393"/>
      <c r="F301" s="325"/>
      <c r="G301" s="144">
        <v>0</v>
      </c>
      <c r="H301" s="130"/>
      <c r="I301" s="130"/>
      <c r="J301" s="130"/>
      <c r="K301" s="130"/>
      <c r="L301" s="144">
        <v>0</v>
      </c>
      <c r="M301" s="130"/>
      <c r="N301" s="130"/>
      <c r="O301" s="130"/>
      <c r="P301" s="240">
        <v>0</v>
      </c>
      <c r="Q301" s="233"/>
      <c r="R301" s="233"/>
      <c r="S301" s="233"/>
      <c r="T301" s="144">
        <f t="shared" si="193"/>
        <v>0</v>
      </c>
      <c r="U301" s="243">
        <f>I301+M301+Q301</f>
        <v>0</v>
      </c>
      <c r="V301" s="144">
        <f t="shared" si="193"/>
        <v>0</v>
      </c>
      <c r="W301" s="144">
        <f t="shared" si="193"/>
        <v>0</v>
      </c>
      <c r="X301" s="130"/>
      <c r="Y301" s="130"/>
      <c r="Z301" s="328"/>
    </row>
    <row r="302" spans="1:26">
      <c r="A302" s="316"/>
      <c r="B302" s="42" t="s">
        <v>39</v>
      </c>
      <c r="C302" s="400"/>
      <c r="D302" s="393"/>
      <c r="E302" s="393"/>
      <c r="F302" s="393"/>
      <c r="G302" s="145">
        <v>0</v>
      </c>
      <c r="H302" s="134"/>
      <c r="I302" s="134"/>
      <c r="J302" s="134"/>
      <c r="K302" s="134"/>
      <c r="L302" s="145">
        <v>0</v>
      </c>
      <c r="M302" s="134"/>
      <c r="N302" s="134"/>
      <c r="O302" s="134"/>
      <c r="P302" s="239">
        <v>0</v>
      </c>
      <c r="Q302" s="240"/>
      <c r="R302" s="240"/>
      <c r="S302" s="240"/>
      <c r="T302" s="145">
        <f t="shared" si="193"/>
        <v>0</v>
      </c>
      <c r="U302" s="244">
        <f>I302+M302+Q302</f>
        <v>0</v>
      </c>
      <c r="V302" s="145">
        <f t="shared" si="193"/>
        <v>0</v>
      </c>
      <c r="W302" s="145">
        <f t="shared" si="193"/>
        <v>0</v>
      </c>
      <c r="X302" s="134"/>
      <c r="Y302" s="134"/>
      <c r="Z302" s="393"/>
    </row>
    <row r="303" spans="1:26">
      <c r="A303" s="316"/>
      <c r="B303" s="39" t="s">
        <v>30</v>
      </c>
      <c r="C303" s="400"/>
      <c r="D303" s="393"/>
      <c r="E303" s="393"/>
      <c r="F303" s="393"/>
      <c r="G303" s="145">
        <v>0</v>
      </c>
      <c r="H303" s="134"/>
      <c r="I303" s="134"/>
      <c r="J303" s="134"/>
      <c r="K303" s="134"/>
      <c r="L303" s="145">
        <v>0</v>
      </c>
      <c r="M303" s="134"/>
      <c r="N303" s="134"/>
      <c r="O303" s="134"/>
      <c r="P303" s="239">
        <v>0</v>
      </c>
      <c r="Q303" s="240"/>
      <c r="R303" s="240"/>
      <c r="S303" s="240"/>
      <c r="T303" s="145">
        <f t="shared" si="193"/>
        <v>0</v>
      </c>
      <c r="U303" s="244">
        <f t="shared" ref="U303:U304" si="194">I303+M303+Q303</f>
        <v>0</v>
      </c>
      <c r="V303" s="145">
        <f t="shared" si="193"/>
        <v>0</v>
      </c>
      <c r="W303" s="145">
        <f t="shared" si="193"/>
        <v>0</v>
      </c>
      <c r="X303" s="134"/>
      <c r="Y303" s="134"/>
      <c r="Z303" s="393"/>
    </row>
    <row r="304" spans="1:26">
      <c r="A304" s="316"/>
      <c r="B304" s="39" t="s">
        <v>31</v>
      </c>
      <c r="C304" s="400"/>
      <c r="D304" s="393"/>
      <c r="E304" s="393"/>
      <c r="F304" s="393"/>
      <c r="G304" s="145">
        <v>0</v>
      </c>
      <c r="H304" s="134"/>
      <c r="I304" s="134"/>
      <c r="J304" s="134"/>
      <c r="K304" s="134"/>
      <c r="L304" s="145">
        <v>0</v>
      </c>
      <c r="M304" s="134"/>
      <c r="N304" s="134"/>
      <c r="O304" s="134"/>
      <c r="P304" s="239">
        <v>0</v>
      </c>
      <c r="Q304" s="240"/>
      <c r="R304" s="240"/>
      <c r="S304" s="240"/>
      <c r="T304" s="145">
        <f t="shared" si="193"/>
        <v>0</v>
      </c>
      <c r="U304" s="244">
        <f t="shared" si="194"/>
        <v>0</v>
      </c>
      <c r="V304" s="145">
        <f t="shared" si="193"/>
        <v>0</v>
      </c>
      <c r="W304" s="145">
        <f t="shared" si="193"/>
        <v>0</v>
      </c>
      <c r="X304" s="134"/>
      <c r="Y304" s="134"/>
      <c r="Z304" s="393"/>
    </row>
    <row r="305" spans="1:26">
      <c r="A305" s="316"/>
      <c r="B305" s="22" t="s">
        <v>35</v>
      </c>
      <c r="C305" s="400"/>
      <c r="D305" s="393"/>
      <c r="E305" s="393"/>
      <c r="F305" s="393"/>
      <c r="G305" s="144">
        <v>0</v>
      </c>
      <c r="H305" s="134"/>
      <c r="I305" s="134"/>
      <c r="J305" s="134"/>
      <c r="K305" s="134"/>
      <c r="L305" s="144">
        <v>0</v>
      </c>
      <c r="M305" s="134"/>
      <c r="N305" s="134"/>
      <c r="O305" s="134"/>
      <c r="P305" s="240">
        <v>0</v>
      </c>
      <c r="Q305" s="240"/>
      <c r="R305" s="240"/>
      <c r="S305" s="240"/>
      <c r="T305" s="144">
        <f t="shared" si="193"/>
        <v>0</v>
      </c>
      <c r="U305" s="243">
        <f>I305+M305+Q305</f>
        <v>0</v>
      </c>
      <c r="V305" s="144">
        <f t="shared" si="193"/>
        <v>0</v>
      </c>
      <c r="W305" s="144">
        <f t="shared" si="193"/>
        <v>0</v>
      </c>
      <c r="X305" s="134"/>
      <c r="Y305" s="134"/>
      <c r="Z305" s="393"/>
    </row>
    <row r="306" spans="1:26">
      <c r="A306" s="316"/>
      <c r="B306" s="22" t="s">
        <v>36</v>
      </c>
      <c r="C306" s="401"/>
      <c r="D306" s="392"/>
      <c r="E306" s="392"/>
      <c r="F306" s="392"/>
      <c r="G306" s="144">
        <v>0</v>
      </c>
      <c r="H306" s="134"/>
      <c r="I306" s="134"/>
      <c r="J306" s="134"/>
      <c r="K306" s="134"/>
      <c r="L306" s="144">
        <v>0</v>
      </c>
      <c r="M306" s="134"/>
      <c r="N306" s="134"/>
      <c r="O306" s="134"/>
      <c r="P306" s="240">
        <v>0</v>
      </c>
      <c r="Q306" s="240"/>
      <c r="R306" s="240"/>
      <c r="S306" s="240"/>
      <c r="T306" s="144">
        <f t="shared" si="193"/>
        <v>0</v>
      </c>
      <c r="U306" s="243">
        <f>I306+M306+Q306</f>
        <v>0</v>
      </c>
      <c r="V306" s="144">
        <f t="shared" si="193"/>
        <v>0</v>
      </c>
      <c r="W306" s="144">
        <f t="shared" si="193"/>
        <v>0</v>
      </c>
      <c r="X306" s="134"/>
      <c r="Y306" s="134"/>
      <c r="Z306" s="392"/>
    </row>
    <row r="307" spans="1:26" ht="14.25" customHeight="1">
      <c r="A307" s="315" t="s">
        <v>74</v>
      </c>
      <c r="B307" s="15" t="s">
        <v>133</v>
      </c>
      <c r="C307" s="330" t="s">
        <v>41</v>
      </c>
      <c r="D307" s="327" t="s">
        <v>8</v>
      </c>
      <c r="E307" s="300">
        <v>1.2</v>
      </c>
      <c r="F307" s="324" t="s">
        <v>17</v>
      </c>
      <c r="G307" s="24">
        <f>G308+G311+G313+G317+G318</f>
        <v>5232</v>
      </c>
      <c r="H307" s="24">
        <f>H308+H311+H313+H317+H318</f>
        <v>0</v>
      </c>
      <c r="I307" s="24">
        <f t="shared" ref="I307:K307" si="195">I308+I311+I313+I317+I318</f>
        <v>0</v>
      </c>
      <c r="J307" s="24">
        <f t="shared" si="195"/>
        <v>1199.922</v>
      </c>
      <c r="K307" s="24">
        <f t="shared" si="195"/>
        <v>1199.922</v>
      </c>
      <c r="L307" s="24">
        <f>L308+L311+L313+L317+L318</f>
        <v>5232</v>
      </c>
      <c r="M307" s="24">
        <f>M308+M311+M313+M317+M318</f>
        <v>2159.86</v>
      </c>
      <c r="N307" s="24">
        <f t="shared" ref="N307:O307" si="196">N308+N311+N313+N317+N318</f>
        <v>959.93799999999999</v>
      </c>
      <c r="O307" s="24">
        <f t="shared" si="196"/>
        <v>959.93799999999999</v>
      </c>
      <c r="P307" s="24">
        <f>P308+P311+P313+P317+P318</f>
        <v>0</v>
      </c>
      <c r="Q307" s="24">
        <f>Q308+Q311+Q313+Q317+Q318</f>
        <v>0</v>
      </c>
      <c r="R307" s="24">
        <f t="shared" ref="R307:S307" si="197">R308+R311+R313+R317+R318</f>
        <v>0</v>
      </c>
      <c r="S307" s="24">
        <f t="shared" si="197"/>
        <v>0</v>
      </c>
      <c r="T307" s="24">
        <f>H307+L307</f>
        <v>5232</v>
      </c>
      <c r="U307" s="24">
        <f>I307+M307+Q307</f>
        <v>2159.86</v>
      </c>
      <c r="V307" s="24">
        <f t="shared" ref="V307:W308" si="198">J307+N307+R307</f>
        <v>2159.86</v>
      </c>
      <c r="W307" s="24">
        <f t="shared" si="198"/>
        <v>2159.86</v>
      </c>
      <c r="X307" s="25"/>
      <c r="Y307" s="25"/>
      <c r="Z307" s="329"/>
    </row>
    <row r="308" spans="1:26" ht="12.75" customHeight="1">
      <c r="A308" s="316"/>
      <c r="B308" s="21" t="s">
        <v>123</v>
      </c>
      <c r="C308" s="331"/>
      <c r="D308" s="328"/>
      <c r="E308" s="393"/>
      <c r="F308" s="325"/>
      <c r="G308" s="285">
        <v>5232</v>
      </c>
      <c r="H308" s="285"/>
      <c r="I308" s="285">
        <f>SUM(I310)</f>
        <v>0</v>
      </c>
      <c r="J308" s="285">
        <f t="shared" ref="J308:K308" si="199">SUM(J310)</f>
        <v>1199.922</v>
      </c>
      <c r="K308" s="285">
        <f t="shared" si="199"/>
        <v>1199.922</v>
      </c>
      <c r="L308" s="285">
        <v>5232</v>
      </c>
      <c r="M308" s="285">
        <f>SUM(M310:M313)</f>
        <v>2159.86</v>
      </c>
      <c r="N308" s="285">
        <f t="shared" ref="N308:O308" si="200">SUM(N310:N313)</f>
        <v>959.93799999999999</v>
      </c>
      <c r="O308" s="285">
        <f t="shared" si="200"/>
        <v>959.93799999999999</v>
      </c>
      <c r="P308" s="285">
        <v>0</v>
      </c>
      <c r="Q308" s="285">
        <f>SUM(Q310:Q313)</f>
        <v>0</v>
      </c>
      <c r="R308" s="285">
        <f t="shared" ref="R308:S308" si="201">SUM(R310:R313)</f>
        <v>0</v>
      </c>
      <c r="S308" s="285">
        <f t="shared" si="201"/>
        <v>0</v>
      </c>
      <c r="T308" s="285">
        <f t="shared" ref="T308:U309" si="202">H308+L308</f>
        <v>5232</v>
      </c>
      <c r="U308" s="285">
        <f>I308+M308+Q308</f>
        <v>2159.86</v>
      </c>
      <c r="V308" s="285">
        <f t="shared" si="198"/>
        <v>2159.86</v>
      </c>
      <c r="W308" s="285">
        <f t="shared" si="198"/>
        <v>2159.86</v>
      </c>
      <c r="X308" s="285">
        <v>5232</v>
      </c>
      <c r="Y308" s="285"/>
      <c r="Z308" s="328"/>
    </row>
    <row r="309" spans="1:26" ht="11.25" customHeight="1">
      <c r="A309" s="316"/>
      <c r="B309" s="38" t="s">
        <v>25</v>
      </c>
      <c r="C309" s="331"/>
      <c r="D309" s="328"/>
      <c r="E309" s="393"/>
      <c r="F309" s="325"/>
      <c r="G309" s="392"/>
      <c r="H309" s="287"/>
      <c r="I309" s="287"/>
      <c r="J309" s="287"/>
      <c r="K309" s="287"/>
      <c r="L309" s="287"/>
      <c r="M309" s="287"/>
      <c r="N309" s="287"/>
      <c r="O309" s="287"/>
      <c r="P309" s="287"/>
      <c r="Q309" s="287"/>
      <c r="R309" s="287"/>
      <c r="S309" s="287"/>
      <c r="T309" s="287">
        <f t="shared" si="202"/>
        <v>0</v>
      </c>
      <c r="U309" s="287">
        <f t="shared" si="202"/>
        <v>0</v>
      </c>
      <c r="V309" s="287">
        <f t="shared" ref="V309" si="203">J309+N309</f>
        <v>0</v>
      </c>
      <c r="W309" s="287">
        <f t="shared" ref="W309" si="204">K309+O309</f>
        <v>0</v>
      </c>
      <c r="X309" s="287"/>
      <c r="Y309" s="287"/>
      <c r="Z309" s="328"/>
    </row>
    <row r="310" spans="1:26" ht="15.75" hidden="1" customHeight="1">
      <c r="A310" s="316"/>
      <c r="B310" s="109" t="s">
        <v>163</v>
      </c>
      <c r="C310" s="331"/>
      <c r="D310" s="328"/>
      <c r="E310" s="393"/>
      <c r="F310" s="325"/>
      <c r="G310" s="99"/>
      <c r="H310" s="130"/>
      <c r="I310" s="111"/>
      <c r="J310" s="111">
        <v>1199.922</v>
      </c>
      <c r="K310" s="111">
        <v>1199.922</v>
      </c>
      <c r="L310" s="111"/>
      <c r="M310" s="111">
        <v>2159.86</v>
      </c>
      <c r="N310" s="111">
        <v>959.93799999999999</v>
      </c>
      <c r="O310" s="111">
        <v>959.93799999999999</v>
      </c>
      <c r="P310" s="111"/>
      <c r="Q310" s="111"/>
      <c r="R310" s="111"/>
      <c r="S310" s="111"/>
      <c r="T310" s="144">
        <f>H310+L310</f>
        <v>0</v>
      </c>
      <c r="U310" s="112">
        <f>I310+M310+Q310</f>
        <v>2159.86</v>
      </c>
      <c r="V310" s="144">
        <f>J310+N310</f>
        <v>2159.86</v>
      </c>
      <c r="W310" s="144">
        <f>K310+O310</f>
        <v>2159.86</v>
      </c>
      <c r="X310" s="130"/>
      <c r="Y310" s="130"/>
      <c r="Z310" s="328"/>
    </row>
    <row r="311" spans="1:26">
      <c r="A311" s="316"/>
      <c r="B311" s="22" t="s">
        <v>27</v>
      </c>
      <c r="C311" s="331"/>
      <c r="D311" s="328"/>
      <c r="E311" s="393"/>
      <c r="F311" s="325"/>
      <c r="G311" s="144">
        <v>0</v>
      </c>
      <c r="H311" s="130"/>
      <c r="I311" s="130"/>
      <c r="J311" s="130"/>
      <c r="K311" s="130"/>
      <c r="L311" s="144">
        <v>0</v>
      </c>
      <c r="M311" s="130"/>
      <c r="N311" s="130"/>
      <c r="O311" s="130"/>
      <c r="P311" s="240">
        <v>0</v>
      </c>
      <c r="Q311" s="233"/>
      <c r="R311" s="233"/>
      <c r="S311" s="233"/>
      <c r="T311" s="145">
        <f t="shared" ref="T311:W318" si="205">H311+L311</f>
        <v>0</v>
      </c>
      <c r="U311" s="243">
        <f>I311+M311+Q311</f>
        <v>0</v>
      </c>
      <c r="V311" s="145">
        <f t="shared" si="205"/>
        <v>0</v>
      </c>
      <c r="W311" s="145">
        <f t="shared" si="205"/>
        <v>0</v>
      </c>
      <c r="X311" s="130"/>
      <c r="Y311" s="130"/>
      <c r="Z311" s="328"/>
    </row>
    <row r="312" spans="1:26">
      <c r="A312" s="316"/>
      <c r="B312" s="42" t="s">
        <v>37</v>
      </c>
      <c r="C312" s="331"/>
      <c r="D312" s="328"/>
      <c r="E312" s="393"/>
      <c r="F312" s="325"/>
      <c r="G312" s="145">
        <v>0</v>
      </c>
      <c r="H312" s="130"/>
      <c r="I312" s="130"/>
      <c r="J312" s="130"/>
      <c r="K312" s="130"/>
      <c r="L312" s="145">
        <v>0</v>
      </c>
      <c r="M312" s="130"/>
      <c r="N312" s="130"/>
      <c r="O312" s="130"/>
      <c r="P312" s="239">
        <v>0</v>
      </c>
      <c r="Q312" s="233"/>
      <c r="R312" s="233"/>
      <c r="S312" s="233"/>
      <c r="T312" s="144">
        <f t="shared" si="205"/>
        <v>0</v>
      </c>
      <c r="U312" s="244">
        <f>I312+M312+Q312</f>
        <v>0</v>
      </c>
      <c r="V312" s="144">
        <f t="shared" si="205"/>
        <v>0</v>
      </c>
      <c r="W312" s="144">
        <f t="shared" si="205"/>
        <v>0</v>
      </c>
      <c r="X312" s="130"/>
      <c r="Y312" s="130"/>
      <c r="Z312" s="328"/>
    </row>
    <row r="313" spans="1:26">
      <c r="A313" s="316"/>
      <c r="B313" s="22" t="s">
        <v>28</v>
      </c>
      <c r="C313" s="331"/>
      <c r="D313" s="328"/>
      <c r="E313" s="393"/>
      <c r="F313" s="325"/>
      <c r="G313" s="144">
        <v>0</v>
      </c>
      <c r="H313" s="130"/>
      <c r="I313" s="130"/>
      <c r="J313" s="130"/>
      <c r="K313" s="130"/>
      <c r="L313" s="144">
        <v>0</v>
      </c>
      <c r="M313" s="130"/>
      <c r="N313" s="130"/>
      <c r="O313" s="130"/>
      <c r="P313" s="240">
        <v>0</v>
      </c>
      <c r="Q313" s="233"/>
      <c r="R313" s="233"/>
      <c r="S313" s="233"/>
      <c r="T313" s="145">
        <f t="shared" si="205"/>
        <v>0</v>
      </c>
      <c r="U313" s="243">
        <f>I313+M313+Q313</f>
        <v>0</v>
      </c>
      <c r="V313" s="145">
        <f t="shared" si="205"/>
        <v>0</v>
      </c>
      <c r="W313" s="145">
        <f t="shared" si="205"/>
        <v>0</v>
      </c>
      <c r="X313" s="130"/>
      <c r="Y313" s="130"/>
      <c r="Z313" s="328"/>
    </row>
    <row r="314" spans="1:26">
      <c r="A314" s="316"/>
      <c r="B314" s="42" t="s">
        <v>39</v>
      </c>
      <c r="C314" s="400"/>
      <c r="D314" s="393"/>
      <c r="E314" s="393"/>
      <c r="F314" s="393"/>
      <c r="G314" s="145">
        <v>0</v>
      </c>
      <c r="H314" s="134"/>
      <c r="I314" s="134"/>
      <c r="J314" s="134"/>
      <c r="K314" s="134"/>
      <c r="L314" s="145">
        <v>0</v>
      </c>
      <c r="M314" s="134"/>
      <c r="N314" s="134"/>
      <c r="O314" s="134"/>
      <c r="P314" s="239">
        <v>0</v>
      </c>
      <c r="Q314" s="240"/>
      <c r="R314" s="240"/>
      <c r="S314" s="240"/>
      <c r="T314" s="145">
        <f t="shared" si="205"/>
        <v>0</v>
      </c>
      <c r="U314" s="244">
        <f>I314+M314+Q314</f>
        <v>0</v>
      </c>
      <c r="V314" s="145">
        <f t="shared" si="205"/>
        <v>0</v>
      </c>
      <c r="W314" s="145">
        <f t="shared" si="205"/>
        <v>0</v>
      </c>
      <c r="X314" s="134"/>
      <c r="Y314" s="134"/>
      <c r="Z314" s="393"/>
    </row>
    <row r="315" spans="1:26">
      <c r="A315" s="316"/>
      <c r="B315" s="39" t="s">
        <v>30</v>
      </c>
      <c r="C315" s="400"/>
      <c r="D315" s="393"/>
      <c r="E315" s="393"/>
      <c r="F315" s="393"/>
      <c r="G315" s="145">
        <v>0</v>
      </c>
      <c r="H315" s="134"/>
      <c r="I315" s="134"/>
      <c r="J315" s="134"/>
      <c r="K315" s="134"/>
      <c r="L315" s="145">
        <v>0</v>
      </c>
      <c r="M315" s="134"/>
      <c r="N315" s="134"/>
      <c r="O315" s="134"/>
      <c r="P315" s="239">
        <v>0</v>
      </c>
      <c r="Q315" s="240"/>
      <c r="R315" s="240"/>
      <c r="S315" s="240"/>
      <c r="T315" s="145">
        <f t="shared" si="205"/>
        <v>0</v>
      </c>
      <c r="U315" s="244">
        <f t="shared" ref="U315:U316" si="206">I315+M315+Q315</f>
        <v>0</v>
      </c>
      <c r="V315" s="145">
        <f t="shared" si="205"/>
        <v>0</v>
      </c>
      <c r="W315" s="145">
        <f t="shared" si="205"/>
        <v>0</v>
      </c>
      <c r="X315" s="134"/>
      <c r="Y315" s="134"/>
      <c r="Z315" s="393"/>
    </row>
    <row r="316" spans="1:26">
      <c r="A316" s="316"/>
      <c r="B316" s="39" t="s">
        <v>31</v>
      </c>
      <c r="C316" s="400"/>
      <c r="D316" s="393"/>
      <c r="E316" s="393"/>
      <c r="F316" s="393"/>
      <c r="G316" s="145">
        <v>0</v>
      </c>
      <c r="H316" s="134"/>
      <c r="I316" s="134"/>
      <c r="J316" s="134"/>
      <c r="K316" s="134"/>
      <c r="L316" s="145">
        <v>0</v>
      </c>
      <c r="M316" s="134"/>
      <c r="N316" s="134"/>
      <c r="O316" s="134"/>
      <c r="P316" s="239">
        <v>0</v>
      </c>
      <c r="Q316" s="240"/>
      <c r="R316" s="240"/>
      <c r="S316" s="240"/>
      <c r="T316" s="144">
        <f t="shared" si="205"/>
        <v>0</v>
      </c>
      <c r="U316" s="244">
        <f t="shared" si="206"/>
        <v>0</v>
      </c>
      <c r="V316" s="144">
        <f t="shared" si="205"/>
        <v>0</v>
      </c>
      <c r="W316" s="144">
        <f t="shared" si="205"/>
        <v>0</v>
      </c>
      <c r="X316" s="134"/>
      <c r="Y316" s="134"/>
      <c r="Z316" s="393"/>
    </row>
    <row r="317" spans="1:26">
      <c r="A317" s="316"/>
      <c r="B317" s="22" t="s">
        <v>35</v>
      </c>
      <c r="C317" s="400"/>
      <c r="D317" s="393"/>
      <c r="E317" s="393"/>
      <c r="F317" s="393"/>
      <c r="G317" s="144">
        <v>0</v>
      </c>
      <c r="H317" s="134"/>
      <c r="I317" s="134"/>
      <c r="J317" s="134"/>
      <c r="K317" s="134"/>
      <c r="L317" s="144">
        <v>0</v>
      </c>
      <c r="M317" s="134"/>
      <c r="N317" s="134"/>
      <c r="O317" s="134"/>
      <c r="P317" s="240">
        <v>0</v>
      </c>
      <c r="Q317" s="240"/>
      <c r="R317" s="240"/>
      <c r="S317" s="240"/>
      <c r="T317" s="144">
        <f t="shared" si="205"/>
        <v>0</v>
      </c>
      <c r="U317" s="243">
        <f>I317+M317+Q317</f>
        <v>0</v>
      </c>
      <c r="V317" s="144">
        <f t="shared" si="205"/>
        <v>0</v>
      </c>
      <c r="W317" s="144">
        <f t="shared" si="205"/>
        <v>0</v>
      </c>
      <c r="X317" s="134"/>
      <c r="Y317" s="134"/>
      <c r="Z317" s="393"/>
    </row>
    <row r="318" spans="1:26">
      <c r="A318" s="316"/>
      <c r="B318" s="22" t="s">
        <v>36</v>
      </c>
      <c r="C318" s="401"/>
      <c r="D318" s="392"/>
      <c r="E318" s="392"/>
      <c r="F318" s="392"/>
      <c r="G318" s="144">
        <v>0</v>
      </c>
      <c r="H318" s="134"/>
      <c r="I318" s="134"/>
      <c r="J318" s="134"/>
      <c r="K318" s="134"/>
      <c r="L318" s="144">
        <v>0</v>
      </c>
      <c r="M318" s="134"/>
      <c r="N318" s="134"/>
      <c r="O318" s="134"/>
      <c r="P318" s="240">
        <v>0</v>
      </c>
      <c r="Q318" s="240"/>
      <c r="R318" s="240"/>
      <c r="S318" s="240"/>
      <c r="T318" s="144">
        <f t="shared" si="205"/>
        <v>0</v>
      </c>
      <c r="U318" s="243">
        <f>I318+M318+Q318</f>
        <v>0</v>
      </c>
      <c r="V318" s="144">
        <f t="shared" si="205"/>
        <v>0</v>
      </c>
      <c r="W318" s="144">
        <f t="shared" si="205"/>
        <v>0</v>
      </c>
      <c r="X318" s="134"/>
      <c r="Y318" s="134"/>
      <c r="Z318" s="392"/>
    </row>
    <row r="319" spans="1:26" ht="12.75" hidden="1" customHeight="1">
      <c r="A319" s="315" t="s">
        <v>94</v>
      </c>
      <c r="B319" s="63"/>
      <c r="C319" s="421" t="s">
        <v>55</v>
      </c>
      <c r="D319" s="423" t="s">
        <v>10</v>
      </c>
      <c r="E319" s="426">
        <v>3.57</v>
      </c>
      <c r="F319" s="425" t="s">
        <v>17</v>
      </c>
      <c r="G319" s="24">
        <f>G320+G322+G324+G328+G329</f>
        <v>0</v>
      </c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329"/>
    </row>
    <row r="320" spans="1:26" ht="12.75" hidden="1" customHeight="1">
      <c r="A320" s="316"/>
      <c r="B320" s="21" t="s">
        <v>123</v>
      </c>
      <c r="C320" s="421"/>
      <c r="D320" s="424"/>
      <c r="E320" s="420"/>
      <c r="F320" s="425"/>
      <c r="G320" s="419">
        <f>SUM(H320:Y320)</f>
        <v>0</v>
      </c>
      <c r="H320" s="419"/>
      <c r="I320" s="134"/>
      <c r="J320" s="134"/>
      <c r="K320" s="134"/>
      <c r="L320" s="134"/>
      <c r="M320" s="134"/>
      <c r="N320" s="134"/>
      <c r="O320" s="134"/>
      <c r="P320" s="240"/>
      <c r="Q320" s="240"/>
      <c r="R320" s="240"/>
      <c r="S320" s="240"/>
      <c r="T320" s="134"/>
      <c r="U320" s="144"/>
      <c r="V320" s="144"/>
      <c r="W320" s="144"/>
      <c r="X320" s="419"/>
      <c r="Y320" s="419"/>
      <c r="Z320" s="328"/>
    </row>
    <row r="321" spans="1:26" ht="12.75" hidden="1" customHeight="1">
      <c r="A321" s="316"/>
      <c r="B321" s="38" t="s">
        <v>25</v>
      </c>
      <c r="C321" s="421"/>
      <c r="D321" s="424"/>
      <c r="E321" s="420"/>
      <c r="F321" s="425"/>
      <c r="G321" s="420"/>
      <c r="H321" s="419"/>
      <c r="I321" s="134"/>
      <c r="J321" s="134"/>
      <c r="K321" s="134"/>
      <c r="L321" s="134"/>
      <c r="M321" s="134"/>
      <c r="N321" s="134"/>
      <c r="O321" s="134"/>
      <c r="P321" s="240"/>
      <c r="Q321" s="240"/>
      <c r="R321" s="240"/>
      <c r="S321" s="240"/>
      <c r="T321" s="134"/>
      <c r="U321" s="144"/>
      <c r="V321" s="144"/>
      <c r="W321" s="144"/>
      <c r="X321" s="419"/>
      <c r="Y321" s="419"/>
      <c r="Z321" s="328"/>
    </row>
    <row r="322" spans="1:26" ht="12.75" hidden="1" customHeight="1">
      <c r="A322" s="316"/>
      <c r="B322" s="22" t="s">
        <v>27</v>
      </c>
      <c r="C322" s="421"/>
      <c r="D322" s="424"/>
      <c r="E322" s="420"/>
      <c r="F322" s="425"/>
      <c r="G322" s="134">
        <f>SUM(G323)</f>
        <v>0</v>
      </c>
      <c r="H322" s="134"/>
      <c r="I322" s="134"/>
      <c r="J322" s="134"/>
      <c r="K322" s="134"/>
      <c r="L322" s="134"/>
      <c r="M322" s="134"/>
      <c r="N322" s="134"/>
      <c r="O322" s="134"/>
      <c r="P322" s="240"/>
      <c r="Q322" s="240"/>
      <c r="R322" s="240"/>
      <c r="S322" s="240"/>
      <c r="T322" s="134"/>
      <c r="U322" s="144"/>
      <c r="V322" s="144"/>
      <c r="W322" s="144"/>
      <c r="X322" s="134"/>
      <c r="Y322" s="134"/>
      <c r="Z322" s="328"/>
    </row>
    <row r="323" spans="1:26" ht="12.75" hidden="1" customHeight="1">
      <c r="A323" s="316"/>
      <c r="B323" s="42" t="s">
        <v>37</v>
      </c>
      <c r="C323" s="421"/>
      <c r="D323" s="424"/>
      <c r="E323" s="420"/>
      <c r="F323" s="425"/>
      <c r="G323" s="133">
        <f>SUM(H323:Y323)</f>
        <v>0</v>
      </c>
      <c r="H323" s="134"/>
      <c r="I323" s="134"/>
      <c r="J323" s="134"/>
      <c r="K323" s="134"/>
      <c r="L323" s="134"/>
      <c r="M323" s="134"/>
      <c r="N323" s="134"/>
      <c r="O323" s="134"/>
      <c r="P323" s="240"/>
      <c r="Q323" s="240"/>
      <c r="R323" s="240"/>
      <c r="S323" s="240"/>
      <c r="T323" s="134"/>
      <c r="U323" s="144"/>
      <c r="V323" s="144"/>
      <c r="W323" s="144"/>
      <c r="X323" s="134"/>
      <c r="Y323" s="134"/>
      <c r="Z323" s="328"/>
    </row>
    <row r="324" spans="1:26" ht="12.75" hidden="1" customHeight="1">
      <c r="A324" s="316"/>
      <c r="B324" s="22" t="s">
        <v>28</v>
      </c>
      <c r="C324" s="421"/>
      <c r="D324" s="424"/>
      <c r="E324" s="420"/>
      <c r="F324" s="425"/>
      <c r="G324" s="134">
        <f>SUM(G325:G327)</f>
        <v>0</v>
      </c>
      <c r="H324" s="134"/>
      <c r="I324" s="134"/>
      <c r="J324" s="134"/>
      <c r="K324" s="134"/>
      <c r="L324" s="134"/>
      <c r="M324" s="134"/>
      <c r="N324" s="134"/>
      <c r="O324" s="134"/>
      <c r="P324" s="240"/>
      <c r="Q324" s="240"/>
      <c r="R324" s="240"/>
      <c r="S324" s="240"/>
      <c r="T324" s="134"/>
      <c r="U324" s="144"/>
      <c r="V324" s="144"/>
      <c r="W324" s="144"/>
      <c r="X324" s="134"/>
      <c r="Y324" s="134"/>
      <c r="Z324" s="328"/>
    </row>
    <row r="325" spans="1:26" ht="12.75" hidden="1" customHeight="1">
      <c r="A325" s="316"/>
      <c r="B325" s="42" t="s">
        <v>39</v>
      </c>
      <c r="C325" s="422"/>
      <c r="D325" s="420"/>
      <c r="E325" s="420"/>
      <c r="F325" s="420"/>
      <c r="G325" s="133">
        <f>SUM(H325:Y325)</f>
        <v>0</v>
      </c>
      <c r="H325" s="134"/>
      <c r="I325" s="134"/>
      <c r="J325" s="134"/>
      <c r="K325" s="134"/>
      <c r="L325" s="134"/>
      <c r="M325" s="134"/>
      <c r="N325" s="134"/>
      <c r="O325" s="134"/>
      <c r="P325" s="240"/>
      <c r="Q325" s="240"/>
      <c r="R325" s="240"/>
      <c r="S325" s="240"/>
      <c r="T325" s="134"/>
      <c r="U325" s="144"/>
      <c r="V325" s="144"/>
      <c r="W325" s="144"/>
      <c r="X325" s="134"/>
      <c r="Y325" s="134"/>
      <c r="Z325" s="393"/>
    </row>
    <row r="326" spans="1:26" ht="12.75" hidden="1" customHeight="1">
      <c r="A326" s="316"/>
      <c r="B326" s="39" t="s">
        <v>30</v>
      </c>
      <c r="C326" s="422"/>
      <c r="D326" s="420"/>
      <c r="E326" s="420"/>
      <c r="F326" s="420"/>
      <c r="G326" s="133">
        <f>SUM(H326:Y326)</f>
        <v>0</v>
      </c>
      <c r="H326" s="134"/>
      <c r="I326" s="134"/>
      <c r="J326" s="134"/>
      <c r="K326" s="134"/>
      <c r="L326" s="134"/>
      <c r="M326" s="134"/>
      <c r="N326" s="134"/>
      <c r="O326" s="134"/>
      <c r="P326" s="240"/>
      <c r="Q326" s="240"/>
      <c r="R326" s="240"/>
      <c r="S326" s="240"/>
      <c r="T326" s="134"/>
      <c r="U326" s="144"/>
      <c r="V326" s="144"/>
      <c r="W326" s="144"/>
      <c r="X326" s="134"/>
      <c r="Y326" s="134"/>
      <c r="Z326" s="393"/>
    </row>
    <row r="327" spans="1:26" ht="12.75" hidden="1" customHeight="1">
      <c r="A327" s="316"/>
      <c r="B327" s="39" t="s">
        <v>31</v>
      </c>
      <c r="C327" s="422"/>
      <c r="D327" s="420"/>
      <c r="E327" s="420"/>
      <c r="F327" s="420"/>
      <c r="G327" s="133">
        <f>SUM(H327:Y327)</f>
        <v>0</v>
      </c>
      <c r="H327" s="134"/>
      <c r="I327" s="134"/>
      <c r="J327" s="134"/>
      <c r="K327" s="134"/>
      <c r="L327" s="134"/>
      <c r="M327" s="134"/>
      <c r="N327" s="134"/>
      <c r="O327" s="134"/>
      <c r="P327" s="240"/>
      <c r="Q327" s="240"/>
      <c r="R327" s="240"/>
      <c r="S327" s="240"/>
      <c r="T327" s="134"/>
      <c r="U327" s="144"/>
      <c r="V327" s="144"/>
      <c r="W327" s="144"/>
      <c r="X327" s="134"/>
      <c r="Y327" s="134"/>
      <c r="Z327" s="393"/>
    </row>
    <row r="328" spans="1:26" ht="12.75" hidden="1" customHeight="1">
      <c r="A328" s="316"/>
      <c r="B328" s="22" t="s">
        <v>35</v>
      </c>
      <c r="C328" s="422"/>
      <c r="D328" s="420"/>
      <c r="E328" s="420"/>
      <c r="F328" s="420"/>
      <c r="G328" s="134">
        <f>SUM(H328:Y328)</f>
        <v>0</v>
      </c>
      <c r="H328" s="134"/>
      <c r="I328" s="134"/>
      <c r="J328" s="134"/>
      <c r="K328" s="134"/>
      <c r="L328" s="134"/>
      <c r="M328" s="134"/>
      <c r="N328" s="134"/>
      <c r="O328" s="134"/>
      <c r="P328" s="240"/>
      <c r="Q328" s="240"/>
      <c r="R328" s="240"/>
      <c r="S328" s="240"/>
      <c r="T328" s="134"/>
      <c r="U328" s="144"/>
      <c r="V328" s="144"/>
      <c r="W328" s="144"/>
      <c r="X328" s="134"/>
      <c r="Y328" s="134"/>
      <c r="Z328" s="393"/>
    </row>
    <row r="329" spans="1:26" ht="13.5" hidden="1" customHeight="1">
      <c r="A329" s="316"/>
      <c r="B329" s="22" t="s">
        <v>36</v>
      </c>
      <c r="C329" s="422"/>
      <c r="D329" s="420"/>
      <c r="E329" s="420"/>
      <c r="F329" s="420"/>
      <c r="G329" s="134">
        <f>SUM(H329:Y329)</f>
        <v>0</v>
      </c>
      <c r="H329" s="134"/>
      <c r="I329" s="134"/>
      <c r="J329" s="134"/>
      <c r="K329" s="134"/>
      <c r="L329" s="134"/>
      <c r="M329" s="134"/>
      <c r="N329" s="134"/>
      <c r="O329" s="134"/>
      <c r="P329" s="240"/>
      <c r="Q329" s="240"/>
      <c r="R329" s="240"/>
      <c r="S329" s="240"/>
      <c r="T329" s="134"/>
      <c r="U329" s="144"/>
      <c r="V329" s="144"/>
      <c r="W329" s="144"/>
      <c r="X329" s="134"/>
      <c r="Y329" s="134"/>
      <c r="Z329" s="392"/>
    </row>
    <row r="330" spans="1:26" ht="29.25" customHeight="1">
      <c r="A330" s="315" t="s">
        <v>92</v>
      </c>
      <c r="B330" s="64" t="s">
        <v>111</v>
      </c>
      <c r="C330" s="330" t="s">
        <v>41</v>
      </c>
      <c r="D330" s="327" t="s">
        <v>118</v>
      </c>
      <c r="E330" s="300">
        <v>40</v>
      </c>
      <c r="F330" s="324" t="s">
        <v>17</v>
      </c>
      <c r="G330" s="24">
        <f>G331+G339+G341+G345+G346</f>
        <v>10952.7</v>
      </c>
      <c r="H330" s="24">
        <f>H331+H339+H341+H345+H346</f>
        <v>0</v>
      </c>
      <c r="I330" s="25"/>
      <c r="J330" s="25"/>
      <c r="K330" s="25"/>
      <c r="L330" s="24">
        <f>L331+L339+L341+L345+L346</f>
        <v>995.7</v>
      </c>
      <c r="M330" s="25">
        <v>0</v>
      </c>
      <c r="N330" s="25">
        <v>0</v>
      </c>
      <c r="O330" s="25">
        <v>0</v>
      </c>
      <c r="P330" s="24">
        <f>P331+P339+P341+P345+P346</f>
        <v>0</v>
      </c>
      <c r="Q330" s="24">
        <f>Q331+Q339+Q341+Q345+Q346</f>
        <v>0</v>
      </c>
      <c r="R330" s="25">
        <f>R331+R339+R341+R345+R346</f>
        <v>0</v>
      </c>
      <c r="S330" s="25">
        <f>S331+S339+S341+S345+S346</f>
        <v>0</v>
      </c>
      <c r="T330" s="24">
        <f>H330+L330+P330</f>
        <v>995.7</v>
      </c>
      <c r="U330" s="24">
        <f>I330+M330+Q330</f>
        <v>0</v>
      </c>
      <c r="V330" s="24">
        <f t="shared" ref="V330:W331" si="207">J330+N330+R330</f>
        <v>0</v>
      </c>
      <c r="W330" s="24">
        <f t="shared" si="207"/>
        <v>0</v>
      </c>
      <c r="X330" s="25"/>
      <c r="Y330" s="25"/>
      <c r="Z330" s="329"/>
    </row>
    <row r="331" spans="1:26">
      <c r="A331" s="316"/>
      <c r="B331" s="21" t="s">
        <v>26</v>
      </c>
      <c r="C331" s="331"/>
      <c r="D331" s="328"/>
      <c r="E331" s="393"/>
      <c r="F331" s="325"/>
      <c r="G331" s="285">
        <v>10952.7</v>
      </c>
      <c r="H331" s="285"/>
      <c r="I331" s="128"/>
      <c r="J331" s="128"/>
      <c r="K331" s="128"/>
      <c r="L331" s="285">
        <v>995.7</v>
      </c>
      <c r="M331" s="128"/>
      <c r="N331" s="128"/>
      <c r="O331" s="128"/>
      <c r="P331" s="285">
        <v>0</v>
      </c>
      <c r="Q331" s="285">
        <f>SUM(Q333:Q336)</f>
        <v>0</v>
      </c>
      <c r="R331" s="285">
        <f>SUM(R335:R336)</f>
        <v>0</v>
      </c>
      <c r="S331" s="285">
        <f>SUM(S335:S336)</f>
        <v>0</v>
      </c>
      <c r="T331" s="285">
        <f>H331+L331+P331</f>
        <v>995.7</v>
      </c>
      <c r="U331" s="285">
        <f>I331+M331+Q331</f>
        <v>0</v>
      </c>
      <c r="V331" s="285">
        <f t="shared" si="207"/>
        <v>0</v>
      </c>
      <c r="W331" s="285">
        <f t="shared" si="207"/>
        <v>0</v>
      </c>
      <c r="X331" s="285">
        <v>995.7</v>
      </c>
      <c r="Y331" s="285">
        <v>9957</v>
      </c>
      <c r="Z331" s="328"/>
    </row>
    <row r="332" spans="1:26">
      <c r="A332" s="316"/>
      <c r="B332" s="38" t="s">
        <v>25</v>
      </c>
      <c r="C332" s="331"/>
      <c r="D332" s="328"/>
      <c r="E332" s="393"/>
      <c r="F332" s="325"/>
      <c r="G332" s="392"/>
      <c r="H332" s="287"/>
      <c r="I332" s="130"/>
      <c r="J332" s="130"/>
      <c r="K332" s="130"/>
      <c r="L332" s="287"/>
      <c r="M332" s="130"/>
      <c r="N332" s="130"/>
      <c r="O332" s="130"/>
      <c r="P332" s="287"/>
      <c r="Q332" s="287"/>
      <c r="R332" s="287"/>
      <c r="S332" s="287"/>
      <c r="T332" s="287">
        <f t="shared" ref="T332:U332" si="208">H332+L332</f>
        <v>0</v>
      </c>
      <c r="U332" s="287">
        <f t="shared" si="208"/>
        <v>0</v>
      </c>
      <c r="V332" s="287">
        <f t="shared" ref="V332" si="209">J332+N332</f>
        <v>0</v>
      </c>
      <c r="W332" s="287">
        <f t="shared" ref="W332" si="210">K332+O332</f>
        <v>0</v>
      </c>
      <c r="X332" s="287"/>
      <c r="Y332" s="287"/>
      <c r="Z332" s="328"/>
    </row>
    <row r="333" spans="1:26" hidden="1">
      <c r="A333" s="316"/>
      <c r="B333" s="38"/>
      <c r="C333" s="331"/>
      <c r="D333" s="328"/>
      <c r="E333" s="393"/>
      <c r="F333" s="325"/>
      <c r="G333" s="277"/>
      <c r="H333" s="276"/>
      <c r="I333" s="276"/>
      <c r="J333" s="276"/>
      <c r="K333" s="276"/>
      <c r="L333" s="276"/>
      <c r="M333" s="276"/>
      <c r="N333" s="276"/>
      <c r="O333" s="276"/>
      <c r="P333" s="276"/>
      <c r="Q333" s="276"/>
      <c r="R333" s="276"/>
      <c r="S333" s="276"/>
      <c r="T333" s="276"/>
      <c r="U333" s="276"/>
      <c r="V333" s="276"/>
      <c r="W333" s="276"/>
      <c r="X333" s="276"/>
      <c r="Y333" s="276"/>
      <c r="Z333" s="328"/>
    </row>
    <row r="334" spans="1:26" hidden="1">
      <c r="A334" s="316"/>
      <c r="B334" s="38"/>
      <c r="C334" s="331"/>
      <c r="D334" s="328"/>
      <c r="E334" s="393"/>
      <c r="F334" s="325"/>
      <c r="G334" s="277"/>
      <c r="H334" s="276"/>
      <c r="I334" s="276"/>
      <c r="J334" s="276"/>
      <c r="K334" s="276"/>
      <c r="L334" s="276"/>
      <c r="M334" s="276"/>
      <c r="N334" s="276"/>
      <c r="O334" s="276"/>
      <c r="P334" s="276"/>
      <c r="Q334" s="276"/>
      <c r="R334" s="276"/>
      <c r="S334" s="276"/>
      <c r="T334" s="276"/>
      <c r="U334" s="276"/>
      <c r="V334" s="276"/>
      <c r="W334" s="276"/>
      <c r="X334" s="276"/>
      <c r="Y334" s="276"/>
      <c r="Z334" s="328"/>
    </row>
    <row r="335" spans="1:26" s="163" customFormat="1" ht="13.5" hidden="1">
      <c r="A335" s="316"/>
      <c r="B335" s="109" t="s">
        <v>255</v>
      </c>
      <c r="C335" s="331"/>
      <c r="D335" s="328"/>
      <c r="E335" s="393"/>
      <c r="F335" s="325"/>
      <c r="G335" s="16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1"/>
      <c r="R335" s="111"/>
      <c r="S335" s="111"/>
      <c r="T335" s="112"/>
      <c r="U335" s="112"/>
      <c r="V335" s="112"/>
      <c r="W335" s="112"/>
      <c r="X335" s="112"/>
      <c r="Y335" s="112"/>
      <c r="Z335" s="328"/>
    </row>
    <row r="336" spans="1:26" s="163" customFormat="1" ht="13.5" hidden="1">
      <c r="A336" s="316"/>
      <c r="B336" s="109" t="s">
        <v>205</v>
      </c>
      <c r="C336" s="331"/>
      <c r="D336" s="328"/>
      <c r="E336" s="393"/>
      <c r="F336" s="325"/>
      <c r="G336" s="16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1"/>
      <c r="R336" s="111"/>
      <c r="S336" s="111"/>
      <c r="T336" s="112"/>
      <c r="U336" s="112"/>
      <c r="V336" s="112"/>
      <c r="W336" s="112"/>
      <c r="X336" s="112"/>
      <c r="Y336" s="112"/>
      <c r="Z336" s="328"/>
    </row>
    <row r="337" spans="1:26" s="163" customFormat="1" ht="13.5" hidden="1">
      <c r="A337" s="316"/>
      <c r="B337" s="109"/>
      <c r="C337" s="331"/>
      <c r="D337" s="328"/>
      <c r="E337" s="393"/>
      <c r="F337" s="325"/>
      <c r="G337" s="16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328"/>
    </row>
    <row r="338" spans="1:26" s="163" customFormat="1" ht="13.5" hidden="1">
      <c r="A338" s="316"/>
      <c r="B338" s="109"/>
      <c r="C338" s="331"/>
      <c r="D338" s="328"/>
      <c r="E338" s="393"/>
      <c r="F338" s="325"/>
      <c r="G338" s="16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328"/>
    </row>
    <row r="339" spans="1:26">
      <c r="A339" s="316"/>
      <c r="B339" s="22" t="s">
        <v>27</v>
      </c>
      <c r="C339" s="331"/>
      <c r="D339" s="328"/>
      <c r="E339" s="393"/>
      <c r="F339" s="325"/>
      <c r="G339" s="144">
        <v>0</v>
      </c>
      <c r="H339" s="130"/>
      <c r="I339" s="130"/>
      <c r="J339" s="130"/>
      <c r="K339" s="130"/>
      <c r="L339" s="144">
        <v>0</v>
      </c>
      <c r="M339" s="130"/>
      <c r="N339" s="130"/>
      <c r="O339" s="130"/>
      <c r="P339" s="240">
        <v>0</v>
      </c>
      <c r="Q339" s="233"/>
      <c r="R339" s="233"/>
      <c r="S339" s="233"/>
      <c r="T339" s="144">
        <f>H339+L339</f>
        <v>0</v>
      </c>
      <c r="U339" s="243">
        <f>I339+M339+Q339</f>
        <v>0</v>
      </c>
      <c r="V339" s="144">
        <f>J339+N339</f>
        <v>0</v>
      </c>
      <c r="W339" s="144">
        <f>K339+O339</f>
        <v>0</v>
      </c>
      <c r="X339" s="130"/>
      <c r="Y339" s="130"/>
      <c r="Z339" s="328"/>
    </row>
    <row r="340" spans="1:26">
      <c r="A340" s="316"/>
      <c r="B340" s="42" t="s">
        <v>37</v>
      </c>
      <c r="C340" s="331"/>
      <c r="D340" s="328"/>
      <c r="E340" s="393"/>
      <c r="F340" s="325"/>
      <c r="G340" s="145">
        <v>0</v>
      </c>
      <c r="H340" s="130"/>
      <c r="I340" s="130"/>
      <c r="J340" s="130"/>
      <c r="K340" s="130"/>
      <c r="L340" s="145">
        <v>0</v>
      </c>
      <c r="M340" s="130"/>
      <c r="N340" s="130"/>
      <c r="O340" s="130"/>
      <c r="P340" s="239">
        <v>0</v>
      </c>
      <c r="Q340" s="233"/>
      <c r="R340" s="233"/>
      <c r="S340" s="233"/>
      <c r="T340" s="145">
        <f t="shared" ref="T340:W346" si="211">H340+L340</f>
        <v>0</v>
      </c>
      <c r="U340" s="244">
        <f>I340+M340+Q340</f>
        <v>0</v>
      </c>
      <c r="V340" s="145">
        <f t="shared" si="211"/>
        <v>0</v>
      </c>
      <c r="W340" s="145">
        <f t="shared" si="211"/>
        <v>0</v>
      </c>
      <c r="X340" s="130"/>
      <c r="Y340" s="130"/>
      <c r="Z340" s="328"/>
    </row>
    <row r="341" spans="1:26">
      <c r="A341" s="316"/>
      <c r="B341" s="22" t="s">
        <v>28</v>
      </c>
      <c r="C341" s="331"/>
      <c r="D341" s="328"/>
      <c r="E341" s="393"/>
      <c r="F341" s="325"/>
      <c r="G341" s="144">
        <v>0</v>
      </c>
      <c r="H341" s="130"/>
      <c r="I341" s="130"/>
      <c r="J341" s="130"/>
      <c r="K341" s="130"/>
      <c r="L341" s="144">
        <v>0</v>
      </c>
      <c r="M341" s="130"/>
      <c r="N341" s="130"/>
      <c r="O341" s="130"/>
      <c r="P341" s="240">
        <v>0</v>
      </c>
      <c r="Q341" s="233"/>
      <c r="R341" s="233"/>
      <c r="S341" s="233"/>
      <c r="T341" s="144">
        <f t="shared" si="211"/>
        <v>0</v>
      </c>
      <c r="U341" s="243">
        <f>I341+M341+Q341</f>
        <v>0</v>
      </c>
      <c r="V341" s="144">
        <f t="shared" si="211"/>
        <v>0</v>
      </c>
      <c r="W341" s="144">
        <f t="shared" si="211"/>
        <v>0</v>
      </c>
      <c r="X341" s="130"/>
      <c r="Y341" s="130"/>
      <c r="Z341" s="328"/>
    </row>
    <row r="342" spans="1:26">
      <c r="A342" s="316"/>
      <c r="B342" s="42" t="s">
        <v>39</v>
      </c>
      <c r="C342" s="400"/>
      <c r="D342" s="393"/>
      <c r="E342" s="393"/>
      <c r="F342" s="393"/>
      <c r="G342" s="145">
        <v>0</v>
      </c>
      <c r="H342" s="134"/>
      <c r="I342" s="134"/>
      <c r="J342" s="134"/>
      <c r="K342" s="134"/>
      <c r="L342" s="145">
        <v>0</v>
      </c>
      <c r="M342" s="134"/>
      <c r="N342" s="134"/>
      <c r="O342" s="134"/>
      <c r="P342" s="239">
        <v>0</v>
      </c>
      <c r="Q342" s="240"/>
      <c r="R342" s="240"/>
      <c r="S342" s="240"/>
      <c r="T342" s="145">
        <f t="shared" si="211"/>
        <v>0</v>
      </c>
      <c r="U342" s="244">
        <f>I342+M342+Q342</f>
        <v>0</v>
      </c>
      <c r="V342" s="145">
        <f t="shared" si="211"/>
        <v>0</v>
      </c>
      <c r="W342" s="145">
        <f t="shared" si="211"/>
        <v>0</v>
      </c>
      <c r="X342" s="134"/>
      <c r="Y342" s="134"/>
      <c r="Z342" s="393"/>
    </row>
    <row r="343" spans="1:26">
      <c r="A343" s="316"/>
      <c r="B343" s="39" t="s">
        <v>30</v>
      </c>
      <c r="C343" s="400"/>
      <c r="D343" s="393"/>
      <c r="E343" s="393"/>
      <c r="F343" s="393"/>
      <c r="G343" s="145">
        <v>0</v>
      </c>
      <c r="H343" s="134"/>
      <c r="I343" s="134"/>
      <c r="J343" s="134"/>
      <c r="K343" s="134"/>
      <c r="L343" s="145">
        <v>0</v>
      </c>
      <c r="M343" s="134"/>
      <c r="N343" s="134"/>
      <c r="O343" s="134"/>
      <c r="P343" s="239">
        <v>0</v>
      </c>
      <c r="Q343" s="240"/>
      <c r="R343" s="240"/>
      <c r="S343" s="240"/>
      <c r="T343" s="145">
        <f t="shared" si="211"/>
        <v>0</v>
      </c>
      <c r="U343" s="244">
        <f t="shared" ref="U343:U344" si="212">I343+M343+Q343</f>
        <v>0</v>
      </c>
      <c r="V343" s="145">
        <f t="shared" si="211"/>
        <v>0</v>
      </c>
      <c r="W343" s="145">
        <f t="shared" si="211"/>
        <v>0</v>
      </c>
      <c r="X343" s="134"/>
      <c r="Y343" s="134"/>
      <c r="Z343" s="393"/>
    </row>
    <row r="344" spans="1:26">
      <c r="A344" s="316"/>
      <c r="B344" s="39" t="s">
        <v>31</v>
      </c>
      <c r="C344" s="400"/>
      <c r="D344" s="393"/>
      <c r="E344" s="393"/>
      <c r="F344" s="393"/>
      <c r="G344" s="145">
        <v>0</v>
      </c>
      <c r="H344" s="134"/>
      <c r="I344" s="134"/>
      <c r="J344" s="134"/>
      <c r="K344" s="134"/>
      <c r="L344" s="145">
        <v>0</v>
      </c>
      <c r="M344" s="134"/>
      <c r="N344" s="134"/>
      <c r="O344" s="134"/>
      <c r="P344" s="239">
        <v>0</v>
      </c>
      <c r="Q344" s="240"/>
      <c r="R344" s="240"/>
      <c r="S344" s="240"/>
      <c r="T344" s="145">
        <f t="shared" si="211"/>
        <v>0</v>
      </c>
      <c r="U344" s="244">
        <f t="shared" si="212"/>
        <v>0</v>
      </c>
      <c r="V344" s="145">
        <f t="shared" si="211"/>
        <v>0</v>
      </c>
      <c r="W344" s="145">
        <f t="shared" si="211"/>
        <v>0</v>
      </c>
      <c r="X344" s="134"/>
      <c r="Y344" s="134"/>
      <c r="Z344" s="393"/>
    </row>
    <row r="345" spans="1:26">
      <c r="A345" s="316"/>
      <c r="B345" s="22" t="s">
        <v>35</v>
      </c>
      <c r="C345" s="400"/>
      <c r="D345" s="393"/>
      <c r="E345" s="393"/>
      <c r="F345" s="393"/>
      <c r="G345" s="144">
        <v>0</v>
      </c>
      <c r="H345" s="134"/>
      <c r="I345" s="134"/>
      <c r="J345" s="134"/>
      <c r="K345" s="134"/>
      <c r="L345" s="144">
        <v>0</v>
      </c>
      <c r="M345" s="134"/>
      <c r="N345" s="134"/>
      <c r="O345" s="134"/>
      <c r="P345" s="240">
        <v>0</v>
      </c>
      <c r="Q345" s="240"/>
      <c r="R345" s="240"/>
      <c r="S345" s="240"/>
      <c r="T345" s="144">
        <f t="shared" si="211"/>
        <v>0</v>
      </c>
      <c r="U345" s="243">
        <f>I345+M345+Q345</f>
        <v>0</v>
      </c>
      <c r="V345" s="144">
        <f t="shared" si="211"/>
        <v>0</v>
      </c>
      <c r="W345" s="144">
        <f t="shared" si="211"/>
        <v>0</v>
      </c>
      <c r="X345" s="134"/>
      <c r="Y345" s="134"/>
      <c r="Z345" s="393"/>
    </row>
    <row r="346" spans="1:26">
      <c r="A346" s="316"/>
      <c r="B346" s="22" t="s">
        <v>36</v>
      </c>
      <c r="C346" s="401"/>
      <c r="D346" s="392"/>
      <c r="E346" s="392"/>
      <c r="F346" s="392"/>
      <c r="G346" s="144">
        <v>0</v>
      </c>
      <c r="H346" s="134"/>
      <c r="I346" s="134"/>
      <c r="J346" s="134"/>
      <c r="K346" s="134"/>
      <c r="L346" s="144">
        <v>0</v>
      </c>
      <c r="M346" s="134"/>
      <c r="N346" s="134"/>
      <c r="O346" s="134"/>
      <c r="P346" s="240">
        <v>0</v>
      </c>
      <c r="Q346" s="240"/>
      <c r="R346" s="240"/>
      <c r="S346" s="240"/>
      <c r="T346" s="144">
        <f t="shared" si="211"/>
        <v>0</v>
      </c>
      <c r="U346" s="243">
        <f>I346+M346+Q346</f>
        <v>0</v>
      </c>
      <c r="V346" s="144">
        <f t="shared" si="211"/>
        <v>0</v>
      </c>
      <c r="W346" s="144">
        <f t="shared" si="211"/>
        <v>0</v>
      </c>
      <c r="X346" s="134"/>
      <c r="Y346" s="134"/>
      <c r="Z346" s="392"/>
    </row>
    <row r="347" spans="1:26" ht="42.75" customHeight="1">
      <c r="A347" s="315" t="s">
        <v>93</v>
      </c>
      <c r="B347" s="63" t="s">
        <v>110</v>
      </c>
      <c r="C347" s="330" t="s">
        <v>41</v>
      </c>
      <c r="D347" s="327" t="s">
        <v>119</v>
      </c>
      <c r="E347" s="300">
        <v>40</v>
      </c>
      <c r="F347" s="324" t="s">
        <v>17</v>
      </c>
      <c r="G347" s="24">
        <f>G348+G350+G352+G356+G357</f>
        <v>10379.6</v>
      </c>
      <c r="H347" s="24">
        <f>H348+H350+H352+H356+H357</f>
        <v>0</v>
      </c>
      <c r="I347" s="25"/>
      <c r="J347" s="25"/>
      <c r="K347" s="25"/>
      <c r="L347" s="24">
        <f>L348+L350+L352+L356+L357</f>
        <v>943.6</v>
      </c>
      <c r="M347" s="25">
        <v>0</v>
      </c>
      <c r="N347" s="25">
        <v>0</v>
      </c>
      <c r="O347" s="25">
        <v>0</v>
      </c>
      <c r="P347" s="24">
        <f>P348+P350+P352+P356+P357</f>
        <v>0</v>
      </c>
      <c r="Q347" s="25">
        <v>0</v>
      </c>
      <c r="R347" s="25">
        <v>0</v>
      </c>
      <c r="S347" s="25">
        <v>0</v>
      </c>
      <c r="T347" s="24">
        <f>H347+L347+P347</f>
        <v>943.6</v>
      </c>
      <c r="U347" s="24">
        <f>I347+M347+Q347</f>
        <v>0</v>
      </c>
      <c r="V347" s="24">
        <f t="shared" ref="V347:W348" si="213">J347+N347+R347</f>
        <v>0</v>
      </c>
      <c r="W347" s="24">
        <f t="shared" si="213"/>
        <v>0</v>
      </c>
      <c r="X347" s="25"/>
      <c r="Y347" s="25"/>
      <c r="Z347" s="329"/>
    </row>
    <row r="348" spans="1:26">
      <c r="A348" s="316"/>
      <c r="B348" s="21" t="s">
        <v>123</v>
      </c>
      <c r="C348" s="331"/>
      <c r="D348" s="328"/>
      <c r="E348" s="393"/>
      <c r="F348" s="325"/>
      <c r="G348" s="285">
        <v>10379.6</v>
      </c>
      <c r="H348" s="285"/>
      <c r="I348" s="128"/>
      <c r="J348" s="128"/>
      <c r="K348" s="128"/>
      <c r="L348" s="285">
        <v>943.6</v>
      </c>
      <c r="M348" s="128"/>
      <c r="N348" s="128"/>
      <c r="O348" s="128"/>
      <c r="P348" s="285">
        <v>0</v>
      </c>
      <c r="Q348" s="285">
        <v>0</v>
      </c>
      <c r="R348" s="285">
        <v>0</v>
      </c>
      <c r="S348" s="285">
        <v>0</v>
      </c>
      <c r="T348" s="285">
        <f>H348+L348+P348</f>
        <v>943.6</v>
      </c>
      <c r="U348" s="285">
        <f>I348+M348+Q348</f>
        <v>0</v>
      </c>
      <c r="V348" s="285">
        <f t="shared" si="213"/>
        <v>0</v>
      </c>
      <c r="W348" s="285">
        <f t="shared" si="213"/>
        <v>0</v>
      </c>
      <c r="X348" s="285">
        <v>943.6</v>
      </c>
      <c r="Y348" s="285">
        <v>9436</v>
      </c>
      <c r="Z348" s="328"/>
    </row>
    <row r="349" spans="1:26">
      <c r="A349" s="316"/>
      <c r="B349" s="38" t="s">
        <v>25</v>
      </c>
      <c r="C349" s="331"/>
      <c r="D349" s="328"/>
      <c r="E349" s="393"/>
      <c r="F349" s="325"/>
      <c r="G349" s="392"/>
      <c r="H349" s="287"/>
      <c r="I349" s="130"/>
      <c r="J349" s="130"/>
      <c r="K349" s="130"/>
      <c r="L349" s="287"/>
      <c r="M349" s="130"/>
      <c r="N349" s="130"/>
      <c r="O349" s="130"/>
      <c r="P349" s="287"/>
      <c r="Q349" s="287"/>
      <c r="R349" s="287"/>
      <c r="S349" s="287"/>
      <c r="T349" s="287">
        <f t="shared" ref="T349:U349" si="214">H349+L349</f>
        <v>0</v>
      </c>
      <c r="U349" s="287">
        <f t="shared" si="214"/>
        <v>0</v>
      </c>
      <c r="V349" s="287">
        <f t="shared" ref="V349" si="215">J349+N349</f>
        <v>0</v>
      </c>
      <c r="W349" s="287">
        <f t="shared" ref="W349" si="216">K349+O349</f>
        <v>0</v>
      </c>
      <c r="X349" s="287"/>
      <c r="Y349" s="287"/>
      <c r="Z349" s="328"/>
    </row>
    <row r="350" spans="1:26">
      <c r="A350" s="316"/>
      <c r="B350" s="22" t="s">
        <v>27</v>
      </c>
      <c r="C350" s="331"/>
      <c r="D350" s="328"/>
      <c r="E350" s="393"/>
      <c r="F350" s="325"/>
      <c r="G350" s="144">
        <v>0</v>
      </c>
      <c r="H350" s="130"/>
      <c r="I350" s="130"/>
      <c r="J350" s="130"/>
      <c r="K350" s="130"/>
      <c r="L350" s="144">
        <v>0</v>
      </c>
      <c r="M350" s="130"/>
      <c r="N350" s="130"/>
      <c r="O350" s="130"/>
      <c r="P350" s="240">
        <v>0</v>
      </c>
      <c r="Q350" s="233"/>
      <c r="R350" s="233"/>
      <c r="S350" s="233"/>
      <c r="T350" s="144">
        <f>H350+L350</f>
        <v>0</v>
      </c>
      <c r="U350" s="243">
        <f>I350+M350+Q350</f>
        <v>0</v>
      </c>
      <c r="V350" s="144">
        <f>J350+N350</f>
        <v>0</v>
      </c>
      <c r="W350" s="144">
        <f>K350+O350</f>
        <v>0</v>
      </c>
      <c r="X350" s="130"/>
      <c r="Y350" s="130"/>
      <c r="Z350" s="328"/>
    </row>
    <row r="351" spans="1:26">
      <c r="A351" s="316"/>
      <c r="B351" s="42" t="s">
        <v>37</v>
      </c>
      <c r="C351" s="331"/>
      <c r="D351" s="328"/>
      <c r="E351" s="393"/>
      <c r="F351" s="325"/>
      <c r="G351" s="145">
        <v>0</v>
      </c>
      <c r="H351" s="130"/>
      <c r="I351" s="130"/>
      <c r="J351" s="130"/>
      <c r="K351" s="130"/>
      <c r="L351" s="145">
        <v>0</v>
      </c>
      <c r="M351" s="130"/>
      <c r="N351" s="130"/>
      <c r="O351" s="130"/>
      <c r="P351" s="239">
        <v>0</v>
      </c>
      <c r="Q351" s="233"/>
      <c r="R351" s="233"/>
      <c r="S351" s="233"/>
      <c r="T351" s="145">
        <f t="shared" ref="T351:W357" si="217">H351+L351</f>
        <v>0</v>
      </c>
      <c r="U351" s="244">
        <f>I351+M351+Q351</f>
        <v>0</v>
      </c>
      <c r="V351" s="145">
        <f t="shared" si="217"/>
        <v>0</v>
      </c>
      <c r="W351" s="145">
        <f t="shared" si="217"/>
        <v>0</v>
      </c>
      <c r="X351" s="130"/>
      <c r="Y351" s="130"/>
      <c r="Z351" s="328"/>
    </row>
    <row r="352" spans="1:26">
      <c r="A352" s="316"/>
      <c r="B352" s="22" t="s">
        <v>28</v>
      </c>
      <c r="C352" s="331"/>
      <c r="D352" s="328"/>
      <c r="E352" s="393"/>
      <c r="F352" s="325"/>
      <c r="G352" s="144">
        <v>0</v>
      </c>
      <c r="H352" s="130"/>
      <c r="I352" s="130"/>
      <c r="J352" s="130"/>
      <c r="K352" s="130"/>
      <c r="L352" s="144">
        <v>0</v>
      </c>
      <c r="M352" s="130"/>
      <c r="N352" s="130"/>
      <c r="O352" s="130"/>
      <c r="P352" s="240">
        <v>0</v>
      </c>
      <c r="Q352" s="233"/>
      <c r="R352" s="233"/>
      <c r="S352" s="233"/>
      <c r="T352" s="144">
        <f t="shared" si="217"/>
        <v>0</v>
      </c>
      <c r="U352" s="243">
        <f>I352+M352+Q352</f>
        <v>0</v>
      </c>
      <c r="V352" s="144">
        <f t="shared" si="217"/>
        <v>0</v>
      </c>
      <c r="W352" s="144">
        <f t="shared" si="217"/>
        <v>0</v>
      </c>
      <c r="X352" s="130"/>
      <c r="Y352" s="130"/>
      <c r="Z352" s="328"/>
    </row>
    <row r="353" spans="1:26">
      <c r="A353" s="316"/>
      <c r="B353" s="42" t="s">
        <v>39</v>
      </c>
      <c r="C353" s="400"/>
      <c r="D353" s="393"/>
      <c r="E353" s="393"/>
      <c r="F353" s="393"/>
      <c r="G353" s="145">
        <v>0</v>
      </c>
      <c r="H353" s="134"/>
      <c r="I353" s="134"/>
      <c r="J353" s="134"/>
      <c r="K353" s="134"/>
      <c r="L353" s="145">
        <v>0</v>
      </c>
      <c r="M353" s="134"/>
      <c r="N353" s="134"/>
      <c r="O353" s="134"/>
      <c r="P353" s="239">
        <v>0</v>
      </c>
      <c r="Q353" s="240"/>
      <c r="R353" s="240"/>
      <c r="S353" s="240"/>
      <c r="T353" s="145">
        <f t="shared" si="217"/>
        <v>0</v>
      </c>
      <c r="U353" s="244">
        <f>I353+M353+Q353</f>
        <v>0</v>
      </c>
      <c r="V353" s="145">
        <f t="shared" si="217"/>
        <v>0</v>
      </c>
      <c r="W353" s="145">
        <f t="shared" si="217"/>
        <v>0</v>
      </c>
      <c r="X353" s="134"/>
      <c r="Y353" s="134"/>
      <c r="Z353" s="393"/>
    </row>
    <row r="354" spans="1:26">
      <c r="A354" s="316"/>
      <c r="B354" s="39" t="s">
        <v>30</v>
      </c>
      <c r="C354" s="400"/>
      <c r="D354" s="393"/>
      <c r="E354" s="393"/>
      <c r="F354" s="393"/>
      <c r="G354" s="145">
        <v>0</v>
      </c>
      <c r="H354" s="134"/>
      <c r="I354" s="134"/>
      <c r="J354" s="134"/>
      <c r="K354" s="134"/>
      <c r="L354" s="145">
        <v>0</v>
      </c>
      <c r="M354" s="134"/>
      <c r="N354" s="134"/>
      <c r="O354" s="134"/>
      <c r="P354" s="239">
        <v>0</v>
      </c>
      <c r="Q354" s="240"/>
      <c r="R354" s="240"/>
      <c r="S354" s="240"/>
      <c r="T354" s="145">
        <f t="shared" si="217"/>
        <v>0</v>
      </c>
      <c r="U354" s="244">
        <f t="shared" ref="U354:U355" si="218">I354+M354+Q354</f>
        <v>0</v>
      </c>
      <c r="V354" s="145">
        <f t="shared" si="217"/>
        <v>0</v>
      </c>
      <c r="W354" s="145">
        <f t="shared" si="217"/>
        <v>0</v>
      </c>
      <c r="X354" s="134"/>
      <c r="Y354" s="134"/>
      <c r="Z354" s="393"/>
    </row>
    <row r="355" spans="1:26">
      <c r="A355" s="316"/>
      <c r="B355" s="39" t="s">
        <v>31</v>
      </c>
      <c r="C355" s="400"/>
      <c r="D355" s="393"/>
      <c r="E355" s="393"/>
      <c r="F355" s="393"/>
      <c r="G355" s="145">
        <v>0</v>
      </c>
      <c r="H355" s="134"/>
      <c r="I355" s="134"/>
      <c r="J355" s="134"/>
      <c r="K355" s="134"/>
      <c r="L355" s="145">
        <v>0</v>
      </c>
      <c r="M355" s="134"/>
      <c r="N355" s="134"/>
      <c r="O355" s="134"/>
      <c r="P355" s="239">
        <v>0</v>
      </c>
      <c r="Q355" s="240"/>
      <c r="R355" s="240"/>
      <c r="S355" s="240"/>
      <c r="T355" s="145">
        <f t="shared" si="217"/>
        <v>0</v>
      </c>
      <c r="U355" s="244">
        <f t="shared" si="218"/>
        <v>0</v>
      </c>
      <c r="V355" s="145">
        <f t="shared" si="217"/>
        <v>0</v>
      </c>
      <c r="W355" s="145">
        <f t="shared" si="217"/>
        <v>0</v>
      </c>
      <c r="X355" s="134"/>
      <c r="Y355" s="134"/>
      <c r="Z355" s="393"/>
    </row>
    <row r="356" spans="1:26">
      <c r="A356" s="316"/>
      <c r="B356" s="22" t="s">
        <v>35</v>
      </c>
      <c r="C356" s="400"/>
      <c r="D356" s="393"/>
      <c r="E356" s="393"/>
      <c r="F356" s="393"/>
      <c r="G356" s="144">
        <v>0</v>
      </c>
      <c r="H356" s="134"/>
      <c r="I356" s="134"/>
      <c r="J356" s="134"/>
      <c r="K356" s="134"/>
      <c r="L356" s="144">
        <v>0</v>
      </c>
      <c r="M356" s="134"/>
      <c r="N356" s="134"/>
      <c r="O356" s="134"/>
      <c r="P356" s="240">
        <v>0</v>
      </c>
      <c r="Q356" s="240"/>
      <c r="R356" s="240"/>
      <c r="S356" s="240"/>
      <c r="T356" s="144">
        <f t="shared" si="217"/>
        <v>0</v>
      </c>
      <c r="U356" s="243">
        <f>I356+M356+Q356</f>
        <v>0</v>
      </c>
      <c r="V356" s="144">
        <f t="shared" si="217"/>
        <v>0</v>
      </c>
      <c r="W356" s="144">
        <f t="shared" si="217"/>
        <v>0</v>
      </c>
      <c r="X356" s="134"/>
      <c r="Y356" s="134"/>
      <c r="Z356" s="393"/>
    </row>
    <row r="357" spans="1:26">
      <c r="A357" s="316"/>
      <c r="B357" s="22" t="s">
        <v>36</v>
      </c>
      <c r="C357" s="401"/>
      <c r="D357" s="392"/>
      <c r="E357" s="392"/>
      <c r="F357" s="392"/>
      <c r="G357" s="144">
        <v>0</v>
      </c>
      <c r="H357" s="134"/>
      <c r="I357" s="134"/>
      <c r="J357" s="134"/>
      <c r="K357" s="134"/>
      <c r="L357" s="144">
        <v>0</v>
      </c>
      <c r="M357" s="134"/>
      <c r="N357" s="134"/>
      <c r="O357" s="134"/>
      <c r="P357" s="240">
        <v>0</v>
      </c>
      <c r="Q357" s="240"/>
      <c r="R357" s="240"/>
      <c r="S357" s="240"/>
      <c r="T357" s="144">
        <f t="shared" si="217"/>
        <v>0</v>
      </c>
      <c r="U357" s="243">
        <f>I357+M357+Q357</f>
        <v>0</v>
      </c>
      <c r="V357" s="144">
        <f t="shared" si="217"/>
        <v>0</v>
      </c>
      <c r="W357" s="144">
        <f t="shared" si="217"/>
        <v>0</v>
      </c>
      <c r="X357" s="134"/>
      <c r="Y357" s="134"/>
      <c r="Z357" s="392"/>
    </row>
    <row r="358" spans="1:26" ht="25.5">
      <c r="A358" s="315" t="s">
        <v>94</v>
      </c>
      <c r="B358" s="51" t="s">
        <v>134</v>
      </c>
      <c r="C358" s="330" t="s">
        <v>55</v>
      </c>
      <c r="D358" s="327" t="s">
        <v>49</v>
      </c>
      <c r="E358" s="300">
        <v>1.5</v>
      </c>
      <c r="F358" s="324" t="s">
        <v>17</v>
      </c>
      <c r="G358" s="24">
        <f>G359+G364+G366+G370+G371</f>
        <v>1003.7</v>
      </c>
      <c r="H358" s="24">
        <f>H359+H364+H366+H370+H371</f>
        <v>1003.7</v>
      </c>
      <c r="I358" s="24">
        <f>I359+I364+I366+I370+I371</f>
        <v>865.11799999999994</v>
      </c>
      <c r="J358" s="24">
        <f>J359+J364+J366+J370+J371</f>
        <v>865.11799999999994</v>
      </c>
      <c r="K358" s="24">
        <f>K359+K364+K366+K370+K371</f>
        <v>865.11799999999994</v>
      </c>
      <c r="L358" s="24">
        <v>0</v>
      </c>
      <c r="M358" s="24">
        <f>M359+M364+M366+M370+M371</f>
        <v>498.64100000000002</v>
      </c>
      <c r="N358" s="24">
        <f>N359+N364+N366+N370+N371</f>
        <v>303.64</v>
      </c>
      <c r="O358" s="24">
        <f>O359+O364+O366+O370+O371</f>
        <v>303.64</v>
      </c>
      <c r="P358" s="24">
        <v>0</v>
      </c>
      <c r="Q358" s="24">
        <f>Q359+Q364+Q366+Q370+Q371</f>
        <v>0</v>
      </c>
      <c r="R358" s="24">
        <f>R359+R364+R366+R370+R371</f>
        <v>0</v>
      </c>
      <c r="S358" s="24">
        <f>S359+S364+S366+S370+S371</f>
        <v>0</v>
      </c>
      <c r="T358" s="24">
        <f>T359+T364+T366+T370+T371</f>
        <v>1003.7</v>
      </c>
      <c r="U358" s="24">
        <f>I358+M358+Q358</f>
        <v>1363.759</v>
      </c>
      <c r="V358" s="24">
        <f t="shared" ref="V358:W359" si="219">J358+N358+R358</f>
        <v>1168.7579999999998</v>
      </c>
      <c r="W358" s="24">
        <f t="shared" si="219"/>
        <v>1168.7579999999998</v>
      </c>
      <c r="X358" s="25"/>
      <c r="Y358" s="25"/>
      <c r="Z358" s="329"/>
    </row>
    <row r="359" spans="1:26">
      <c r="A359" s="316"/>
      <c r="B359" s="21" t="s">
        <v>123</v>
      </c>
      <c r="C359" s="331"/>
      <c r="D359" s="328"/>
      <c r="E359" s="393"/>
      <c r="F359" s="325"/>
      <c r="G359" s="285">
        <f>SUM(H359)</f>
        <v>1003.7</v>
      </c>
      <c r="H359" s="285">
        <v>1003.7</v>
      </c>
      <c r="I359" s="285">
        <f>SUM(I361:I363)</f>
        <v>865.11799999999994</v>
      </c>
      <c r="J359" s="285">
        <f t="shared" ref="J359:K359" si="220">SUM(J361:J363)</f>
        <v>865.11799999999994</v>
      </c>
      <c r="K359" s="285">
        <f t="shared" si="220"/>
        <v>865.11799999999994</v>
      </c>
      <c r="L359" s="418">
        <v>0</v>
      </c>
      <c r="M359" s="285">
        <f>SUM(M361:M363)</f>
        <v>498.64100000000002</v>
      </c>
      <c r="N359" s="285">
        <f t="shared" ref="N359:O359" si="221">SUM(N361:N363)</f>
        <v>303.64</v>
      </c>
      <c r="O359" s="285">
        <f t="shared" si="221"/>
        <v>303.64</v>
      </c>
      <c r="P359" s="418">
        <v>0</v>
      </c>
      <c r="Q359" s="285">
        <f>SUM(Q361:Q363)</f>
        <v>0</v>
      </c>
      <c r="R359" s="285">
        <f t="shared" ref="R359:S359" si="222">SUM(R361:R363)</f>
        <v>0</v>
      </c>
      <c r="S359" s="285">
        <f t="shared" si="222"/>
        <v>0</v>
      </c>
      <c r="T359" s="285">
        <f t="shared" ref="T359:U360" si="223">H359+L359</f>
        <v>1003.7</v>
      </c>
      <c r="U359" s="285">
        <f>I359+M359+Q359</f>
        <v>1363.759</v>
      </c>
      <c r="V359" s="285">
        <f t="shared" si="219"/>
        <v>1168.7579999999998</v>
      </c>
      <c r="W359" s="285">
        <f t="shared" si="219"/>
        <v>1168.7579999999998</v>
      </c>
      <c r="X359" s="285"/>
      <c r="Y359" s="285"/>
      <c r="Z359" s="328"/>
    </row>
    <row r="360" spans="1:26">
      <c r="A360" s="316"/>
      <c r="B360" s="38" t="s">
        <v>25</v>
      </c>
      <c r="C360" s="331"/>
      <c r="D360" s="328"/>
      <c r="E360" s="393"/>
      <c r="F360" s="325"/>
      <c r="G360" s="392"/>
      <c r="H360" s="287"/>
      <c r="I360" s="287"/>
      <c r="J360" s="287"/>
      <c r="K360" s="287"/>
      <c r="L360" s="289"/>
      <c r="M360" s="287"/>
      <c r="N360" s="287"/>
      <c r="O360" s="287"/>
      <c r="P360" s="289"/>
      <c r="Q360" s="287"/>
      <c r="R360" s="287"/>
      <c r="S360" s="287"/>
      <c r="T360" s="287">
        <f t="shared" si="223"/>
        <v>0</v>
      </c>
      <c r="U360" s="287">
        <f t="shared" si="223"/>
        <v>0</v>
      </c>
      <c r="V360" s="287">
        <f t="shared" ref="V360" si="224">J360+N360</f>
        <v>0</v>
      </c>
      <c r="W360" s="287">
        <f t="shared" ref="W360" si="225">K360+O360</f>
        <v>0</v>
      </c>
      <c r="X360" s="287"/>
      <c r="Y360" s="287"/>
      <c r="Z360" s="328"/>
    </row>
    <row r="361" spans="1:26" s="163" customFormat="1" ht="12.75" hidden="1" customHeight="1">
      <c r="A361" s="316"/>
      <c r="B361" s="109" t="s">
        <v>164</v>
      </c>
      <c r="C361" s="331"/>
      <c r="D361" s="328"/>
      <c r="E361" s="393"/>
      <c r="F361" s="325"/>
      <c r="G361" s="162"/>
      <c r="H361" s="111"/>
      <c r="I361" s="111">
        <v>676.58299999999997</v>
      </c>
      <c r="J361" s="111">
        <v>676.58299999999997</v>
      </c>
      <c r="K361" s="111">
        <v>676.58299999999997</v>
      </c>
      <c r="L361" s="111"/>
      <c r="M361" s="111">
        <f>295+70</f>
        <v>365</v>
      </c>
      <c r="N361" s="111">
        <f>80+90</f>
        <v>170</v>
      </c>
      <c r="O361" s="111">
        <f>80+90</f>
        <v>170</v>
      </c>
      <c r="P361" s="111"/>
      <c r="Q361" s="111"/>
      <c r="R361" s="111"/>
      <c r="S361" s="111"/>
      <c r="T361" s="217">
        <f>H361+L361</f>
        <v>0</v>
      </c>
      <c r="U361" s="112">
        <f>I361+M361+Q361</f>
        <v>1041.5830000000001</v>
      </c>
      <c r="V361" s="217">
        <f>J361+N361</f>
        <v>846.58299999999997</v>
      </c>
      <c r="W361" s="217">
        <f>K361+O361</f>
        <v>846.58299999999997</v>
      </c>
      <c r="X361" s="111"/>
      <c r="Y361" s="111"/>
      <c r="Z361" s="328"/>
    </row>
    <row r="362" spans="1:26" s="163" customFormat="1" ht="12.75" hidden="1" customHeight="1">
      <c r="A362" s="316"/>
      <c r="B362" s="109" t="s">
        <v>216</v>
      </c>
      <c r="C362" s="331"/>
      <c r="D362" s="328"/>
      <c r="E362" s="393"/>
      <c r="F362" s="325"/>
      <c r="G362" s="162"/>
      <c r="H362" s="111"/>
      <c r="I362" s="111"/>
      <c r="J362" s="111"/>
      <c r="K362" s="111"/>
      <c r="L362" s="111"/>
      <c r="M362" s="111">
        <v>60.56</v>
      </c>
      <c r="N362" s="111">
        <v>60.56</v>
      </c>
      <c r="O362" s="111">
        <v>60.56</v>
      </c>
      <c r="P362" s="111"/>
      <c r="Q362" s="111"/>
      <c r="R362" s="111"/>
      <c r="S362" s="111"/>
      <c r="T362" s="217"/>
      <c r="U362" s="112">
        <f t="shared" ref="U362:U363" si="226">I362+M362+Q362</f>
        <v>60.56</v>
      </c>
      <c r="V362" s="217"/>
      <c r="W362" s="217"/>
      <c r="X362" s="111"/>
      <c r="Y362" s="111"/>
      <c r="Z362" s="328"/>
    </row>
    <row r="363" spans="1:26" s="163" customFormat="1" ht="12.75" hidden="1" customHeight="1">
      <c r="A363" s="316"/>
      <c r="B363" s="109" t="s">
        <v>165</v>
      </c>
      <c r="C363" s="331"/>
      <c r="D363" s="328"/>
      <c r="E363" s="393"/>
      <c r="F363" s="325"/>
      <c r="G363" s="162"/>
      <c r="H363" s="111"/>
      <c r="I363" s="111">
        <v>188.535</v>
      </c>
      <c r="J363" s="111">
        <v>188.535</v>
      </c>
      <c r="K363" s="111">
        <v>188.535</v>
      </c>
      <c r="L363" s="111"/>
      <c r="M363" s="111">
        <f>49.481+23.6</f>
        <v>73.081000000000003</v>
      </c>
      <c r="N363" s="111">
        <f>14.844+34.636+16.52+7.08</f>
        <v>73.08</v>
      </c>
      <c r="O363" s="111">
        <f>14.844+34.636+16.52+7.08</f>
        <v>73.08</v>
      </c>
      <c r="P363" s="111"/>
      <c r="Q363" s="111"/>
      <c r="R363" s="111"/>
      <c r="S363" s="111"/>
      <c r="T363" s="218">
        <f t="shared" ref="T363:W371" si="227">H363+L363</f>
        <v>0</v>
      </c>
      <c r="U363" s="112">
        <f t="shared" si="226"/>
        <v>261.61599999999999</v>
      </c>
      <c r="V363" s="218">
        <f t="shared" si="227"/>
        <v>261.61500000000001</v>
      </c>
      <c r="W363" s="218">
        <f t="shared" si="227"/>
        <v>261.61500000000001</v>
      </c>
      <c r="X363" s="111"/>
      <c r="Y363" s="111"/>
      <c r="Z363" s="328"/>
    </row>
    <row r="364" spans="1:26">
      <c r="A364" s="316"/>
      <c r="B364" s="22" t="s">
        <v>27</v>
      </c>
      <c r="C364" s="331"/>
      <c r="D364" s="328"/>
      <c r="E364" s="393"/>
      <c r="F364" s="325"/>
      <c r="G364" s="144">
        <v>0</v>
      </c>
      <c r="H364" s="130"/>
      <c r="I364" s="130"/>
      <c r="J364" s="130"/>
      <c r="K364" s="130"/>
      <c r="L364" s="144">
        <v>0</v>
      </c>
      <c r="M364" s="130"/>
      <c r="N364" s="130"/>
      <c r="O364" s="130"/>
      <c r="P364" s="240">
        <v>0</v>
      </c>
      <c r="Q364" s="233"/>
      <c r="R364" s="233"/>
      <c r="S364" s="233"/>
      <c r="T364" s="144">
        <f t="shared" si="227"/>
        <v>0</v>
      </c>
      <c r="U364" s="243">
        <f>I364+M364+Q364</f>
        <v>0</v>
      </c>
      <c r="V364" s="144">
        <f t="shared" si="227"/>
        <v>0</v>
      </c>
      <c r="W364" s="144">
        <f t="shared" si="227"/>
        <v>0</v>
      </c>
      <c r="X364" s="130"/>
      <c r="Y364" s="130"/>
      <c r="Z364" s="328"/>
    </row>
    <row r="365" spans="1:26">
      <c r="A365" s="316"/>
      <c r="B365" s="42" t="s">
        <v>37</v>
      </c>
      <c r="C365" s="331"/>
      <c r="D365" s="328"/>
      <c r="E365" s="393"/>
      <c r="F365" s="325"/>
      <c r="G365" s="145">
        <v>0</v>
      </c>
      <c r="H365" s="130"/>
      <c r="I365" s="130"/>
      <c r="J365" s="130"/>
      <c r="K365" s="130"/>
      <c r="L365" s="145">
        <v>0</v>
      </c>
      <c r="M365" s="130"/>
      <c r="N365" s="130"/>
      <c r="O365" s="130"/>
      <c r="P365" s="239">
        <v>0</v>
      </c>
      <c r="Q365" s="233"/>
      <c r="R365" s="233"/>
      <c r="S365" s="233"/>
      <c r="T365" s="145">
        <f t="shared" si="227"/>
        <v>0</v>
      </c>
      <c r="U365" s="244">
        <f>I365+M365+Q365</f>
        <v>0</v>
      </c>
      <c r="V365" s="145">
        <f t="shared" si="227"/>
        <v>0</v>
      </c>
      <c r="W365" s="145">
        <f t="shared" si="227"/>
        <v>0</v>
      </c>
      <c r="X365" s="130"/>
      <c r="Y365" s="130"/>
      <c r="Z365" s="328"/>
    </row>
    <row r="366" spans="1:26">
      <c r="A366" s="316"/>
      <c r="B366" s="22" t="s">
        <v>28</v>
      </c>
      <c r="C366" s="331"/>
      <c r="D366" s="328"/>
      <c r="E366" s="393"/>
      <c r="F366" s="325"/>
      <c r="G366" s="144">
        <v>0</v>
      </c>
      <c r="H366" s="130"/>
      <c r="I366" s="130"/>
      <c r="J366" s="130"/>
      <c r="K366" s="130"/>
      <c r="L366" s="144">
        <v>0</v>
      </c>
      <c r="M366" s="130"/>
      <c r="N366" s="130"/>
      <c r="O366" s="130"/>
      <c r="P366" s="240">
        <v>0</v>
      </c>
      <c r="Q366" s="233"/>
      <c r="R366" s="233"/>
      <c r="S366" s="233"/>
      <c r="T366" s="144">
        <f t="shared" si="227"/>
        <v>0</v>
      </c>
      <c r="U366" s="243">
        <f>I366+M366+Q366</f>
        <v>0</v>
      </c>
      <c r="V366" s="144">
        <f t="shared" si="227"/>
        <v>0</v>
      </c>
      <c r="W366" s="144">
        <f t="shared" si="227"/>
        <v>0</v>
      </c>
      <c r="X366" s="130"/>
      <c r="Y366" s="130"/>
      <c r="Z366" s="328"/>
    </row>
    <row r="367" spans="1:26">
      <c r="A367" s="316"/>
      <c r="B367" s="42" t="s">
        <v>39</v>
      </c>
      <c r="C367" s="400"/>
      <c r="D367" s="393"/>
      <c r="E367" s="393"/>
      <c r="F367" s="393"/>
      <c r="G367" s="145">
        <v>0</v>
      </c>
      <c r="H367" s="134"/>
      <c r="I367" s="134"/>
      <c r="J367" s="134"/>
      <c r="K367" s="134"/>
      <c r="L367" s="145">
        <v>0</v>
      </c>
      <c r="M367" s="134"/>
      <c r="N367" s="134"/>
      <c r="O367" s="134"/>
      <c r="P367" s="239">
        <v>0</v>
      </c>
      <c r="Q367" s="240"/>
      <c r="R367" s="240"/>
      <c r="S367" s="240"/>
      <c r="T367" s="145">
        <f t="shared" si="227"/>
        <v>0</v>
      </c>
      <c r="U367" s="244">
        <f>I367+M367+Q367</f>
        <v>0</v>
      </c>
      <c r="V367" s="145">
        <f t="shared" si="227"/>
        <v>0</v>
      </c>
      <c r="W367" s="145">
        <f t="shared" si="227"/>
        <v>0</v>
      </c>
      <c r="X367" s="134"/>
      <c r="Y367" s="134"/>
      <c r="Z367" s="393"/>
    </row>
    <row r="368" spans="1:26">
      <c r="A368" s="316"/>
      <c r="B368" s="39" t="s">
        <v>30</v>
      </c>
      <c r="C368" s="400"/>
      <c r="D368" s="393"/>
      <c r="E368" s="393"/>
      <c r="F368" s="393"/>
      <c r="G368" s="145">
        <v>0</v>
      </c>
      <c r="H368" s="134"/>
      <c r="I368" s="134"/>
      <c r="J368" s="134"/>
      <c r="K368" s="134"/>
      <c r="L368" s="145">
        <v>0</v>
      </c>
      <c r="M368" s="134"/>
      <c r="N368" s="134"/>
      <c r="O368" s="134"/>
      <c r="P368" s="239">
        <v>0</v>
      </c>
      <c r="Q368" s="240"/>
      <c r="R368" s="240"/>
      <c r="S368" s="240"/>
      <c r="T368" s="145">
        <f t="shared" si="227"/>
        <v>0</v>
      </c>
      <c r="U368" s="244">
        <f t="shared" ref="U368:U369" si="228">I368+M368+Q368</f>
        <v>0</v>
      </c>
      <c r="V368" s="145">
        <f t="shared" si="227"/>
        <v>0</v>
      </c>
      <c r="W368" s="145">
        <f t="shared" si="227"/>
        <v>0</v>
      </c>
      <c r="X368" s="134"/>
      <c r="Y368" s="134"/>
      <c r="Z368" s="393"/>
    </row>
    <row r="369" spans="1:26">
      <c r="A369" s="316"/>
      <c r="B369" s="39" t="s">
        <v>31</v>
      </c>
      <c r="C369" s="400"/>
      <c r="D369" s="393"/>
      <c r="E369" s="393"/>
      <c r="F369" s="393"/>
      <c r="G369" s="145">
        <v>0</v>
      </c>
      <c r="H369" s="134"/>
      <c r="I369" s="134"/>
      <c r="J369" s="134"/>
      <c r="K369" s="134"/>
      <c r="L369" s="145">
        <v>0</v>
      </c>
      <c r="M369" s="134"/>
      <c r="N369" s="134"/>
      <c r="O369" s="134"/>
      <c r="P369" s="239">
        <v>0</v>
      </c>
      <c r="Q369" s="240"/>
      <c r="R369" s="240"/>
      <c r="S369" s="240"/>
      <c r="T369" s="145">
        <f t="shared" si="227"/>
        <v>0</v>
      </c>
      <c r="U369" s="244">
        <f t="shared" si="228"/>
        <v>0</v>
      </c>
      <c r="V369" s="145">
        <f t="shared" si="227"/>
        <v>0</v>
      </c>
      <c r="W369" s="145">
        <f t="shared" si="227"/>
        <v>0</v>
      </c>
      <c r="X369" s="134"/>
      <c r="Y369" s="134"/>
      <c r="Z369" s="393"/>
    </row>
    <row r="370" spans="1:26">
      <c r="A370" s="316"/>
      <c r="B370" s="22" t="s">
        <v>35</v>
      </c>
      <c r="C370" s="400"/>
      <c r="D370" s="393"/>
      <c r="E370" s="393"/>
      <c r="F370" s="393"/>
      <c r="G370" s="144">
        <v>0</v>
      </c>
      <c r="H370" s="134"/>
      <c r="I370" s="134"/>
      <c r="J370" s="134"/>
      <c r="K370" s="134"/>
      <c r="L370" s="144">
        <v>0</v>
      </c>
      <c r="M370" s="134"/>
      <c r="N370" s="134"/>
      <c r="O370" s="134"/>
      <c r="P370" s="240">
        <v>0</v>
      </c>
      <c r="Q370" s="240"/>
      <c r="R370" s="240"/>
      <c r="S370" s="240"/>
      <c r="T370" s="144">
        <f t="shared" si="227"/>
        <v>0</v>
      </c>
      <c r="U370" s="243">
        <f>I370+M370+Q370</f>
        <v>0</v>
      </c>
      <c r="V370" s="144">
        <f t="shared" si="227"/>
        <v>0</v>
      </c>
      <c r="W370" s="144">
        <f t="shared" si="227"/>
        <v>0</v>
      </c>
      <c r="X370" s="134"/>
      <c r="Y370" s="134"/>
      <c r="Z370" s="393"/>
    </row>
    <row r="371" spans="1:26">
      <c r="A371" s="316"/>
      <c r="B371" s="22" t="s">
        <v>36</v>
      </c>
      <c r="C371" s="401"/>
      <c r="D371" s="392"/>
      <c r="E371" s="392"/>
      <c r="F371" s="392"/>
      <c r="G371" s="144">
        <v>0</v>
      </c>
      <c r="H371" s="134"/>
      <c r="I371" s="134"/>
      <c r="J371" s="134"/>
      <c r="K371" s="134"/>
      <c r="L371" s="144">
        <v>0</v>
      </c>
      <c r="M371" s="134"/>
      <c r="N371" s="134"/>
      <c r="O371" s="134"/>
      <c r="P371" s="240">
        <v>0</v>
      </c>
      <c r="Q371" s="240"/>
      <c r="R371" s="240"/>
      <c r="S371" s="240"/>
      <c r="T371" s="144">
        <f t="shared" si="227"/>
        <v>0</v>
      </c>
      <c r="U371" s="243">
        <f>I371+M371+Q371</f>
        <v>0</v>
      </c>
      <c r="V371" s="144">
        <f t="shared" si="227"/>
        <v>0</v>
      </c>
      <c r="W371" s="144">
        <f t="shared" si="227"/>
        <v>0</v>
      </c>
      <c r="X371" s="134"/>
      <c r="Y371" s="134"/>
      <c r="Z371" s="392"/>
    </row>
    <row r="372" spans="1:26" ht="51" customHeight="1">
      <c r="A372" s="315" t="s">
        <v>95</v>
      </c>
      <c r="B372" s="51" t="s">
        <v>247</v>
      </c>
      <c r="C372" s="330" t="s">
        <v>55</v>
      </c>
      <c r="D372" s="327" t="s">
        <v>49</v>
      </c>
      <c r="E372" s="300"/>
      <c r="F372" s="324"/>
      <c r="G372" s="24">
        <f>G373+G376+G378+G382+G383</f>
        <v>318</v>
      </c>
      <c r="H372" s="24">
        <f>H373+H376+H378+H382+H383</f>
        <v>318</v>
      </c>
      <c r="I372" s="24">
        <f t="shared" ref="I372:K372" si="229">I373+I376+I378+I382+I383</f>
        <v>265</v>
      </c>
      <c r="J372" s="24">
        <f t="shared" si="229"/>
        <v>265</v>
      </c>
      <c r="K372" s="24">
        <f t="shared" si="229"/>
        <v>265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f>H372+L372</f>
        <v>318</v>
      </c>
      <c r="U372" s="24">
        <f>I372+M372+Q372</f>
        <v>265</v>
      </c>
      <c r="V372" s="24">
        <f t="shared" ref="V372:W373" si="230">J372+N372+R372</f>
        <v>265</v>
      </c>
      <c r="W372" s="24">
        <f t="shared" si="230"/>
        <v>265</v>
      </c>
      <c r="X372" s="25"/>
      <c r="Y372" s="25"/>
      <c r="Z372" s="329"/>
    </row>
    <row r="373" spans="1:26">
      <c r="A373" s="316"/>
      <c r="B373" s="21" t="s">
        <v>123</v>
      </c>
      <c r="C373" s="331"/>
      <c r="D373" s="328"/>
      <c r="E373" s="393"/>
      <c r="F373" s="325"/>
      <c r="G373" s="285">
        <f>SUM(H373)</f>
        <v>318</v>
      </c>
      <c r="H373" s="285">
        <v>318</v>
      </c>
      <c r="I373" s="285">
        <f>SUM(I375)</f>
        <v>265</v>
      </c>
      <c r="J373" s="285">
        <f t="shared" ref="J373:K373" si="231">SUM(J375)</f>
        <v>265</v>
      </c>
      <c r="K373" s="285">
        <f t="shared" si="231"/>
        <v>265</v>
      </c>
      <c r="L373" s="418">
        <v>0</v>
      </c>
      <c r="M373" s="128"/>
      <c r="N373" s="128"/>
      <c r="O373" s="128"/>
      <c r="P373" s="418">
        <v>0</v>
      </c>
      <c r="Q373" s="285">
        <v>0</v>
      </c>
      <c r="R373" s="285">
        <v>0</v>
      </c>
      <c r="S373" s="285">
        <v>0</v>
      </c>
      <c r="T373" s="285">
        <f t="shared" ref="T373:T374" si="232">H373+L373</f>
        <v>318</v>
      </c>
      <c r="U373" s="285">
        <f>I373+M373+Q373</f>
        <v>265</v>
      </c>
      <c r="V373" s="285">
        <f t="shared" si="230"/>
        <v>265</v>
      </c>
      <c r="W373" s="285">
        <f t="shared" si="230"/>
        <v>265</v>
      </c>
      <c r="X373" s="285"/>
      <c r="Y373" s="285"/>
      <c r="Z373" s="328"/>
    </row>
    <row r="374" spans="1:26">
      <c r="A374" s="316"/>
      <c r="B374" s="38" t="s">
        <v>25</v>
      </c>
      <c r="C374" s="331"/>
      <c r="D374" s="328"/>
      <c r="E374" s="393"/>
      <c r="F374" s="325"/>
      <c r="G374" s="392"/>
      <c r="H374" s="287"/>
      <c r="I374" s="287"/>
      <c r="J374" s="287"/>
      <c r="K374" s="287"/>
      <c r="L374" s="289"/>
      <c r="M374" s="130"/>
      <c r="N374" s="130"/>
      <c r="O374" s="130"/>
      <c r="P374" s="289"/>
      <c r="Q374" s="287"/>
      <c r="R374" s="287"/>
      <c r="S374" s="287"/>
      <c r="T374" s="287">
        <f t="shared" si="232"/>
        <v>0</v>
      </c>
      <c r="U374" s="287"/>
      <c r="V374" s="287"/>
      <c r="W374" s="287"/>
      <c r="X374" s="287"/>
      <c r="Y374" s="287"/>
      <c r="Z374" s="328"/>
    </row>
    <row r="375" spans="1:26" s="178" customFormat="1" ht="12.75" hidden="1" customHeight="1">
      <c r="A375" s="316"/>
      <c r="B375" s="109" t="s">
        <v>166</v>
      </c>
      <c r="C375" s="331"/>
      <c r="D375" s="328"/>
      <c r="E375" s="393"/>
      <c r="F375" s="325"/>
      <c r="G375" s="177"/>
      <c r="H375" s="110"/>
      <c r="I375" s="111">
        <v>265</v>
      </c>
      <c r="J375" s="111">
        <f>132.5+132.5</f>
        <v>265</v>
      </c>
      <c r="K375" s="111">
        <f>132.5+132.5</f>
        <v>265</v>
      </c>
      <c r="L375" s="111"/>
      <c r="M375" s="111"/>
      <c r="N375" s="111"/>
      <c r="O375" s="111"/>
      <c r="P375" s="111"/>
      <c r="Q375" s="111"/>
      <c r="R375" s="111"/>
      <c r="S375" s="111"/>
      <c r="T375" s="144">
        <f>H375+L375</f>
        <v>0</v>
      </c>
      <c r="U375" s="112">
        <f>I375+M375+Q375</f>
        <v>265</v>
      </c>
      <c r="V375" s="144">
        <f>J375+N375</f>
        <v>265</v>
      </c>
      <c r="W375" s="144">
        <f>K375+O375</f>
        <v>265</v>
      </c>
      <c r="X375" s="110"/>
      <c r="Y375" s="110"/>
      <c r="Z375" s="328"/>
    </row>
    <row r="376" spans="1:26">
      <c r="A376" s="316"/>
      <c r="B376" s="22" t="s">
        <v>27</v>
      </c>
      <c r="C376" s="331"/>
      <c r="D376" s="328"/>
      <c r="E376" s="393"/>
      <c r="F376" s="325"/>
      <c r="G376" s="144">
        <v>0</v>
      </c>
      <c r="H376" s="130"/>
      <c r="I376" s="130"/>
      <c r="J376" s="130"/>
      <c r="K376" s="130"/>
      <c r="L376" s="144">
        <v>0</v>
      </c>
      <c r="M376" s="130"/>
      <c r="N376" s="130"/>
      <c r="O376" s="130"/>
      <c r="P376" s="240">
        <v>0</v>
      </c>
      <c r="Q376" s="233"/>
      <c r="R376" s="233"/>
      <c r="S376" s="233"/>
      <c r="T376" s="145">
        <f t="shared" ref="T376:W383" si="233">H376+L376</f>
        <v>0</v>
      </c>
      <c r="U376" s="145">
        <f t="shared" si="233"/>
        <v>0</v>
      </c>
      <c r="V376" s="145">
        <f t="shared" si="233"/>
        <v>0</v>
      </c>
      <c r="W376" s="145">
        <f t="shared" si="233"/>
        <v>0</v>
      </c>
      <c r="X376" s="130"/>
      <c r="Y376" s="130"/>
      <c r="Z376" s="328"/>
    </row>
    <row r="377" spans="1:26">
      <c r="A377" s="316"/>
      <c r="B377" s="42" t="s">
        <v>37</v>
      </c>
      <c r="C377" s="331"/>
      <c r="D377" s="328"/>
      <c r="E377" s="393"/>
      <c r="F377" s="325"/>
      <c r="G377" s="145">
        <v>0</v>
      </c>
      <c r="H377" s="130"/>
      <c r="I377" s="130"/>
      <c r="J377" s="130"/>
      <c r="K377" s="130"/>
      <c r="L377" s="145">
        <v>0</v>
      </c>
      <c r="M377" s="130"/>
      <c r="N377" s="130"/>
      <c r="O377" s="130"/>
      <c r="P377" s="239">
        <v>0</v>
      </c>
      <c r="Q377" s="233"/>
      <c r="R377" s="233"/>
      <c r="S377" s="233"/>
      <c r="T377" s="145">
        <f t="shared" si="233"/>
        <v>0</v>
      </c>
      <c r="U377" s="145">
        <f t="shared" si="233"/>
        <v>0</v>
      </c>
      <c r="V377" s="145">
        <f t="shared" si="233"/>
        <v>0</v>
      </c>
      <c r="W377" s="145">
        <f t="shared" si="233"/>
        <v>0</v>
      </c>
      <c r="X377" s="130"/>
      <c r="Y377" s="130"/>
      <c r="Z377" s="328"/>
    </row>
    <row r="378" spans="1:26">
      <c r="A378" s="316"/>
      <c r="B378" s="22" t="s">
        <v>28</v>
      </c>
      <c r="C378" s="331"/>
      <c r="D378" s="328"/>
      <c r="E378" s="393"/>
      <c r="F378" s="325"/>
      <c r="G378" s="144">
        <v>0</v>
      </c>
      <c r="H378" s="130"/>
      <c r="I378" s="130"/>
      <c r="J378" s="130"/>
      <c r="K378" s="130"/>
      <c r="L378" s="144">
        <v>0</v>
      </c>
      <c r="M378" s="130"/>
      <c r="N378" s="130"/>
      <c r="O378" s="130"/>
      <c r="P378" s="240">
        <v>0</v>
      </c>
      <c r="Q378" s="233"/>
      <c r="R378" s="233"/>
      <c r="S378" s="233"/>
      <c r="T378" s="144">
        <f t="shared" si="233"/>
        <v>0</v>
      </c>
      <c r="U378" s="144">
        <f t="shared" si="233"/>
        <v>0</v>
      </c>
      <c r="V378" s="144">
        <f t="shared" si="233"/>
        <v>0</v>
      </c>
      <c r="W378" s="144">
        <f t="shared" si="233"/>
        <v>0</v>
      </c>
      <c r="X378" s="130"/>
      <c r="Y378" s="130"/>
      <c r="Z378" s="328"/>
    </row>
    <row r="379" spans="1:26">
      <c r="A379" s="316"/>
      <c r="B379" s="42" t="s">
        <v>39</v>
      </c>
      <c r="C379" s="400"/>
      <c r="D379" s="393"/>
      <c r="E379" s="393"/>
      <c r="F379" s="393"/>
      <c r="G379" s="145">
        <v>0</v>
      </c>
      <c r="H379" s="134"/>
      <c r="I379" s="134"/>
      <c r="J379" s="134"/>
      <c r="K379" s="134"/>
      <c r="L379" s="145">
        <v>0</v>
      </c>
      <c r="M379" s="134"/>
      <c r="N379" s="134"/>
      <c r="O379" s="134"/>
      <c r="P379" s="239">
        <v>0</v>
      </c>
      <c r="Q379" s="240"/>
      <c r="R379" s="240"/>
      <c r="S379" s="240"/>
      <c r="T379" s="145">
        <f t="shared" si="233"/>
        <v>0</v>
      </c>
      <c r="U379" s="145">
        <f t="shared" si="233"/>
        <v>0</v>
      </c>
      <c r="V379" s="145">
        <f t="shared" si="233"/>
        <v>0</v>
      </c>
      <c r="W379" s="145">
        <f t="shared" si="233"/>
        <v>0</v>
      </c>
      <c r="X379" s="134"/>
      <c r="Y379" s="134"/>
      <c r="Z379" s="393"/>
    </row>
    <row r="380" spans="1:26">
      <c r="A380" s="316"/>
      <c r="B380" s="39" t="s">
        <v>30</v>
      </c>
      <c r="C380" s="400"/>
      <c r="D380" s="393"/>
      <c r="E380" s="393"/>
      <c r="F380" s="393"/>
      <c r="G380" s="145">
        <v>0</v>
      </c>
      <c r="H380" s="134"/>
      <c r="I380" s="134"/>
      <c r="J380" s="134"/>
      <c r="K380" s="134"/>
      <c r="L380" s="145">
        <v>0</v>
      </c>
      <c r="M380" s="134"/>
      <c r="N380" s="134"/>
      <c r="O380" s="134"/>
      <c r="P380" s="239">
        <v>0</v>
      </c>
      <c r="Q380" s="240"/>
      <c r="R380" s="240"/>
      <c r="S380" s="240"/>
      <c r="T380" s="145">
        <f t="shared" si="233"/>
        <v>0</v>
      </c>
      <c r="U380" s="145">
        <f t="shared" si="233"/>
        <v>0</v>
      </c>
      <c r="V380" s="145">
        <f t="shared" si="233"/>
        <v>0</v>
      </c>
      <c r="W380" s="145">
        <f t="shared" si="233"/>
        <v>0</v>
      </c>
      <c r="X380" s="134"/>
      <c r="Y380" s="134"/>
      <c r="Z380" s="393"/>
    </row>
    <row r="381" spans="1:26">
      <c r="A381" s="316"/>
      <c r="B381" s="39" t="s">
        <v>31</v>
      </c>
      <c r="C381" s="400"/>
      <c r="D381" s="393"/>
      <c r="E381" s="393"/>
      <c r="F381" s="393"/>
      <c r="G381" s="145">
        <v>0</v>
      </c>
      <c r="H381" s="134"/>
      <c r="I381" s="134"/>
      <c r="J381" s="134"/>
      <c r="K381" s="134"/>
      <c r="L381" s="145">
        <v>0</v>
      </c>
      <c r="M381" s="134"/>
      <c r="N381" s="134"/>
      <c r="O381" s="134"/>
      <c r="P381" s="239">
        <v>0</v>
      </c>
      <c r="Q381" s="240"/>
      <c r="R381" s="240"/>
      <c r="S381" s="240"/>
      <c r="T381" s="145">
        <f t="shared" si="233"/>
        <v>0</v>
      </c>
      <c r="U381" s="145">
        <f t="shared" si="233"/>
        <v>0</v>
      </c>
      <c r="V381" s="145">
        <f t="shared" si="233"/>
        <v>0</v>
      </c>
      <c r="W381" s="145">
        <f t="shared" si="233"/>
        <v>0</v>
      </c>
      <c r="X381" s="134"/>
      <c r="Y381" s="134"/>
      <c r="Z381" s="393"/>
    </row>
    <row r="382" spans="1:26">
      <c r="A382" s="316"/>
      <c r="B382" s="22" t="s">
        <v>35</v>
      </c>
      <c r="C382" s="400"/>
      <c r="D382" s="393"/>
      <c r="E382" s="393"/>
      <c r="F382" s="393"/>
      <c r="G382" s="144">
        <v>0</v>
      </c>
      <c r="H382" s="134"/>
      <c r="I382" s="134"/>
      <c r="J382" s="134"/>
      <c r="K382" s="134"/>
      <c r="L382" s="144">
        <v>0</v>
      </c>
      <c r="M382" s="134"/>
      <c r="N382" s="134"/>
      <c r="O382" s="134"/>
      <c r="P382" s="240">
        <v>0</v>
      </c>
      <c r="Q382" s="240"/>
      <c r="R382" s="240"/>
      <c r="S382" s="240"/>
      <c r="T382" s="144">
        <f t="shared" si="233"/>
        <v>0</v>
      </c>
      <c r="U382" s="144">
        <f t="shared" si="233"/>
        <v>0</v>
      </c>
      <c r="V382" s="144">
        <f t="shared" si="233"/>
        <v>0</v>
      </c>
      <c r="W382" s="144">
        <f t="shared" si="233"/>
        <v>0</v>
      </c>
      <c r="X382" s="134"/>
      <c r="Y382" s="134"/>
      <c r="Z382" s="393"/>
    </row>
    <row r="383" spans="1:26">
      <c r="A383" s="316"/>
      <c r="B383" s="22" t="s">
        <v>36</v>
      </c>
      <c r="C383" s="401"/>
      <c r="D383" s="392"/>
      <c r="E383" s="392"/>
      <c r="F383" s="392"/>
      <c r="G383" s="144">
        <v>0</v>
      </c>
      <c r="H383" s="134"/>
      <c r="I383" s="134"/>
      <c r="J383" s="134"/>
      <c r="K383" s="134"/>
      <c r="L383" s="144">
        <v>0</v>
      </c>
      <c r="M383" s="134"/>
      <c r="N383" s="134"/>
      <c r="O383" s="134"/>
      <c r="P383" s="240">
        <v>0</v>
      </c>
      <c r="Q383" s="240"/>
      <c r="R383" s="240"/>
      <c r="S383" s="240"/>
      <c r="T383" s="144">
        <f t="shared" si="233"/>
        <v>0</v>
      </c>
      <c r="U383" s="144">
        <f t="shared" si="233"/>
        <v>0</v>
      </c>
      <c r="V383" s="144">
        <f t="shared" si="233"/>
        <v>0</v>
      </c>
      <c r="W383" s="144">
        <f t="shared" si="233"/>
        <v>0</v>
      </c>
      <c r="X383" s="134"/>
      <c r="Y383" s="134"/>
      <c r="Z383" s="392"/>
    </row>
    <row r="384" spans="1:26" ht="38.25">
      <c r="A384" s="315" t="s">
        <v>96</v>
      </c>
      <c r="B384" s="34" t="s">
        <v>76</v>
      </c>
      <c r="C384" s="330" t="s">
        <v>55</v>
      </c>
      <c r="D384" s="327" t="s">
        <v>49</v>
      </c>
      <c r="E384" s="300">
        <v>1.1499999999999999</v>
      </c>
      <c r="F384" s="324" t="s">
        <v>17</v>
      </c>
      <c r="G384" s="24">
        <f>G385+G387+G389+G393+G394</f>
        <v>5403.1</v>
      </c>
      <c r="H384" s="24">
        <f>H385+H387+H389+H393+H394</f>
        <v>0</v>
      </c>
      <c r="I384" s="25"/>
      <c r="J384" s="25"/>
      <c r="K384" s="25"/>
      <c r="L384" s="25">
        <v>0</v>
      </c>
      <c r="M384" s="25">
        <v>0</v>
      </c>
      <c r="N384" s="25">
        <v>0</v>
      </c>
      <c r="O384" s="25">
        <v>0</v>
      </c>
      <c r="P384" s="25">
        <f>P385</f>
        <v>0</v>
      </c>
      <c r="Q384" s="25">
        <v>0</v>
      </c>
      <c r="R384" s="25">
        <v>0</v>
      </c>
      <c r="S384" s="25">
        <v>0</v>
      </c>
      <c r="T384" s="24">
        <f>H384+L384+P384</f>
        <v>0</v>
      </c>
      <c r="U384" s="24">
        <f>I384+M384+Q384</f>
        <v>0</v>
      </c>
      <c r="V384" s="24">
        <f t="shared" ref="V384:W385" si="234">J384+N384+R384</f>
        <v>0</v>
      </c>
      <c r="W384" s="24">
        <f t="shared" si="234"/>
        <v>0</v>
      </c>
      <c r="X384" s="25"/>
      <c r="Y384" s="25"/>
      <c r="Z384" s="329"/>
    </row>
    <row r="385" spans="1:26">
      <c r="A385" s="316"/>
      <c r="B385" s="21" t="s">
        <v>123</v>
      </c>
      <c r="C385" s="331"/>
      <c r="D385" s="328"/>
      <c r="E385" s="393"/>
      <c r="F385" s="325"/>
      <c r="G385" s="285">
        <v>5403.1</v>
      </c>
      <c r="H385" s="285"/>
      <c r="I385" s="128"/>
      <c r="J385" s="128"/>
      <c r="K385" s="128"/>
      <c r="L385" s="285">
        <v>0</v>
      </c>
      <c r="M385" s="128"/>
      <c r="N385" s="128"/>
      <c r="O385" s="128"/>
      <c r="P385" s="285">
        <v>0</v>
      </c>
      <c r="Q385" s="285">
        <v>0</v>
      </c>
      <c r="R385" s="285">
        <v>0</v>
      </c>
      <c r="S385" s="285">
        <v>0</v>
      </c>
      <c r="T385" s="285">
        <f>H385+L385+P385</f>
        <v>0</v>
      </c>
      <c r="U385" s="285">
        <f>I385+M385+Q385</f>
        <v>0</v>
      </c>
      <c r="V385" s="285">
        <f t="shared" si="234"/>
        <v>0</v>
      </c>
      <c r="W385" s="285">
        <f t="shared" si="234"/>
        <v>0</v>
      </c>
      <c r="X385" s="285"/>
      <c r="Y385" s="285">
        <v>5403.1</v>
      </c>
      <c r="Z385" s="328"/>
    </row>
    <row r="386" spans="1:26">
      <c r="A386" s="316"/>
      <c r="B386" s="38" t="s">
        <v>25</v>
      </c>
      <c r="C386" s="331"/>
      <c r="D386" s="328"/>
      <c r="E386" s="393"/>
      <c r="F386" s="325"/>
      <c r="G386" s="392"/>
      <c r="H386" s="287"/>
      <c r="I386" s="130"/>
      <c r="J386" s="130"/>
      <c r="K386" s="130"/>
      <c r="L386" s="287"/>
      <c r="M386" s="130"/>
      <c r="N386" s="130"/>
      <c r="O386" s="130"/>
      <c r="P386" s="287"/>
      <c r="Q386" s="287"/>
      <c r="R386" s="287"/>
      <c r="S386" s="287"/>
      <c r="T386" s="287">
        <f t="shared" ref="T386:U386" si="235">H386+L386</f>
        <v>0</v>
      </c>
      <c r="U386" s="287">
        <f t="shared" si="235"/>
        <v>0</v>
      </c>
      <c r="V386" s="287">
        <f t="shared" ref="V386" si="236">J386+N386</f>
        <v>0</v>
      </c>
      <c r="W386" s="287">
        <f t="shared" ref="W386" si="237">K386+O386</f>
        <v>0</v>
      </c>
      <c r="X386" s="287"/>
      <c r="Y386" s="287"/>
      <c r="Z386" s="328"/>
    </row>
    <row r="387" spans="1:26">
      <c r="A387" s="316"/>
      <c r="B387" s="22" t="s">
        <v>27</v>
      </c>
      <c r="C387" s="331"/>
      <c r="D387" s="328"/>
      <c r="E387" s="393"/>
      <c r="F387" s="325"/>
      <c r="G387" s="144">
        <v>0</v>
      </c>
      <c r="H387" s="130"/>
      <c r="I387" s="130"/>
      <c r="J387" s="130"/>
      <c r="K387" s="130"/>
      <c r="L387" s="144">
        <v>0</v>
      </c>
      <c r="M387" s="130"/>
      <c r="N387" s="130"/>
      <c r="O387" s="130"/>
      <c r="P387" s="240">
        <v>0</v>
      </c>
      <c r="Q387" s="233"/>
      <c r="R387" s="233"/>
      <c r="S387" s="233"/>
      <c r="T387" s="144">
        <f>H387+L387</f>
        <v>0</v>
      </c>
      <c r="U387" s="243">
        <f>I387+M387+Q387</f>
        <v>0</v>
      </c>
      <c r="V387" s="144">
        <f>J387+N387</f>
        <v>0</v>
      </c>
      <c r="W387" s="144">
        <f>K387+O387</f>
        <v>0</v>
      </c>
      <c r="X387" s="130"/>
      <c r="Y387" s="130"/>
      <c r="Z387" s="328"/>
    </row>
    <row r="388" spans="1:26">
      <c r="A388" s="316"/>
      <c r="B388" s="42" t="s">
        <v>37</v>
      </c>
      <c r="C388" s="331"/>
      <c r="D388" s="328"/>
      <c r="E388" s="393"/>
      <c r="F388" s="325"/>
      <c r="G388" s="145">
        <v>0</v>
      </c>
      <c r="H388" s="130"/>
      <c r="I388" s="130"/>
      <c r="J388" s="130"/>
      <c r="K388" s="130"/>
      <c r="L388" s="145">
        <v>0</v>
      </c>
      <c r="M388" s="130"/>
      <c r="N388" s="130"/>
      <c r="O388" s="130"/>
      <c r="P388" s="239">
        <v>0</v>
      </c>
      <c r="Q388" s="233"/>
      <c r="R388" s="233"/>
      <c r="S388" s="233"/>
      <c r="T388" s="145">
        <f t="shared" ref="T388:W394" si="238">H388+L388</f>
        <v>0</v>
      </c>
      <c r="U388" s="244">
        <f>I388+M388+Q388</f>
        <v>0</v>
      </c>
      <c r="V388" s="145">
        <f t="shared" si="238"/>
        <v>0</v>
      </c>
      <c r="W388" s="145">
        <f t="shared" si="238"/>
        <v>0</v>
      </c>
      <c r="X388" s="130"/>
      <c r="Y388" s="130"/>
      <c r="Z388" s="328"/>
    </row>
    <row r="389" spans="1:26">
      <c r="A389" s="316"/>
      <c r="B389" s="22" t="s">
        <v>28</v>
      </c>
      <c r="C389" s="331"/>
      <c r="D389" s="328"/>
      <c r="E389" s="393"/>
      <c r="F389" s="325"/>
      <c r="G389" s="144">
        <v>0</v>
      </c>
      <c r="H389" s="130"/>
      <c r="I389" s="130"/>
      <c r="J389" s="130"/>
      <c r="K389" s="130"/>
      <c r="L389" s="144">
        <v>0</v>
      </c>
      <c r="M389" s="130"/>
      <c r="N389" s="130"/>
      <c r="O389" s="130"/>
      <c r="P389" s="240">
        <v>0</v>
      </c>
      <c r="Q389" s="233"/>
      <c r="R389" s="233"/>
      <c r="S389" s="233"/>
      <c r="T389" s="144">
        <f t="shared" si="238"/>
        <v>0</v>
      </c>
      <c r="U389" s="243">
        <f>I389+M389+Q389</f>
        <v>0</v>
      </c>
      <c r="V389" s="144">
        <f t="shared" si="238"/>
        <v>0</v>
      </c>
      <c r="W389" s="144">
        <f t="shared" si="238"/>
        <v>0</v>
      </c>
      <c r="X389" s="130"/>
      <c r="Y389" s="130"/>
      <c r="Z389" s="328"/>
    </row>
    <row r="390" spans="1:26">
      <c r="A390" s="316"/>
      <c r="B390" s="42" t="s">
        <v>39</v>
      </c>
      <c r="C390" s="400"/>
      <c r="D390" s="393"/>
      <c r="E390" s="393"/>
      <c r="F390" s="393"/>
      <c r="G390" s="145">
        <v>0</v>
      </c>
      <c r="H390" s="134"/>
      <c r="I390" s="134"/>
      <c r="J390" s="134"/>
      <c r="K390" s="134"/>
      <c r="L390" s="145">
        <v>0</v>
      </c>
      <c r="M390" s="134"/>
      <c r="N390" s="134"/>
      <c r="O390" s="134"/>
      <c r="P390" s="239">
        <v>0</v>
      </c>
      <c r="Q390" s="240"/>
      <c r="R390" s="240"/>
      <c r="S390" s="240"/>
      <c r="T390" s="145">
        <f t="shared" si="238"/>
        <v>0</v>
      </c>
      <c r="U390" s="244">
        <f>I390+M390+Q390</f>
        <v>0</v>
      </c>
      <c r="V390" s="145">
        <f t="shared" si="238"/>
        <v>0</v>
      </c>
      <c r="W390" s="145">
        <f t="shared" si="238"/>
        <v>0</v>
      </c>
      <c r="X390" s="134"/>
      <c r="Y390" s="134"/>
      <c r="Z390" s="393"/>
    </row>
    <row r="391" spans="1:26">
      <c r="A391" s="316"/>
      <c r="B391" s="39" t="s">
        <v>30</v>
      </c>
      <c r="C391" s="400"/>
      <c r="D391" s="393"/>
      <c r="E391" s="393"/>
      <c r="F391" s="393"/>
      <c r="G391" s="145">
        <v>0</v>
      </c>
      <c r="H391" s="134"/>
      <c r="I391" s="134"/>
      <c r="J391" s="134"/>
      <c r="K391" s="134"/>
      <c r="L391" s="145">
        <v>0</v>
      </c>
      <c r="M391" s="134"/>
      <c r="N391" s="134"/>
      <c r="O391" s="134"/>
      <c r="P391" s="239">
        <v>0</v>
      </c>
      <c r="Q391" s="240"/>
      <c r="R391" s="240"/>
      <c r="S391" s="240"/>
      <c r="T391" s="145">
        <f t="shared" si="238"/>
        <v>0</v>
      </c>
      <c r="U391" s="244">
        <f t="shared" ref="U391:U392" si="239">I391+M391+Q391</f>
        <v>0</v>
      </c>
      <c r="V391" s="145">
        <f t="shared" si="238"/>
        <v>0</v>
      </c>
      <c r="W391" s="145">
        <f t="shared" si="238"/>
        <v>0</v>
      </c>
      <c r="X391" s="134"/>
      <c r="Y391" s="134"/>
      <c r="Z391" s="393"/>
    </row>
    <row r="392" spans="1:26">
      <c r="A392" s="316"/>
      <c r="B392" s="39" t="s">
        <v>31</v>
      </c>
      <c r="C392" s="400"/>
      <c r="D392" s="393"/>
      <c r="E392" s="393"/>
      <c r="F392" s="393"/>
      <c r="G392" s="145">
        <v>0</v>
      </c>
      <c r="H392" s="134"/>
      <c r="I392" s="134"/>
      <c r="J392" s="134"/>
      <c r="K392" s="134"/>
      <c r="L392" s="145">
        <v>0</v>
      </c>
      <c r="M392" s="134"/>
      <c r="N392" s="134"/>
      <c r="O392" s="134"/>
      <c r="P392" s="239">
        <v>0</v>
      </c>
      <c r="Q392" s="240"/>
      <c r="R392" s="240"/>
      <c r="S392" s="240"/>
      <c r="T392" s="145">
        <f t="shared" si="238"/>
        <v>0</v>
      </c>
      <c r="U392" s="244">
        <f t="shared" si="239"/>
        <v>0</v>
      </c>
      <c r="V392" s="145">
        <f t="shared" si="238"/>
        <v>0</v>
      </c>
      <c r="W392" s="145">
        <f t="shared" si="238"/>
        <v>0</v>
      </c>
      <c r="X392" s="134"/>
      <c r="Y392" s="134"/>
      <c r="Z392" s="393"/>
    </row>
    <row r="393" spans="1:26">
      <c r="A393" s="316"/>
      <c r="B393" s="22" t="s">
        <v>35</v>
      </c>
      <c r="C393" s="400"/>
      <c r="D393" s="393"/>
      <c r="E393" s="393"/>
      <c r="F393" s="393"/>
      <c r="G393" s="144">
        <v>0</v>
      </c>
      <c r="H393" s="134"/>
      <c r="I393" s="134"/>
      <c r="J393" s="134"/>
      <c r="K393" s="134"/>
      <c r="L393" s="144">
        <v>0</v>
      </c>
      <c r="M393" s="134"/>
      <c r="N393" s="134"/>
      <c r="O393" s="134"/>
      <c r="P393" s="240">
        <v>0</v>
      </c>
      <c r="Q393" s="240"/>
      <c r="R393" s="240"/>
      <c r="S393" s="240"/>
      <c r="T393" s="144">
        <f t="shared" si="238"/>
        <v>0</v>
      </c>
      <c r="U393" s="243">
        <f>I393+M393+Q393</f>
        <v>0</v>
      </c>
      <c r="V393" s="144">
        <f t="shared" si="238"/>
        <v>0</v>
      </c>
      <c r="W393" s="144">
        <f t="shared" si="238"/>
        <v>0</v>
      </c>
      <c r="X393" s="134"/>
      <c r="Y393" s="134"/>
      <c r="Z393" s="393"/>
    </row>
    <row r="394" spans="1:26">
      <c r="A394" s="316"/>
      <c r="B394" s="22" t="s">
        <v>36</v>
      </c>
      <c r="C394" s="401"/>
      <c r="D394" s="392"/>
      <c r="E394" s="392"/>
      <c r="F394" s="392"/>
      <c r="G394" s="144">
        <v>0</v>
      </c>
      <c r="H394" s="134"/>
      <c r="I394" s="134"/>
      <c r="J394" s="134"/>
      <c r="K394" s="134"/>
      <c r="L394" s="144">
        <v>0</v>
      </c>
      <c r="M394" s="134"/>
      <c r="N394" s="134"/>
      <c r="O394" s="134"/>
      <c r="P394" s="240">
        <v>0</v>
      </c>
      <c r="Q394" s="240"/>
      <c r="R394" s="240"/>
      <c r="S394" s="240"/>
      <c r="T394" s="144">
        <f t="shared" si="238"/>
        <v>0</v>
      </c>
      <c r="U394" s="243">
        <f>I394+M394+Q394</f>
        <v>0</v>
      </c>
      <c r="V394" s="144">
        <f t="shared" si="238"/>
        <v>0</v>
      </c>
      <c r="W394" s="144">
        <f t="shared" si="238"/>
        <v>0</v>
      </c>
      <c r="X394" s="134"/>
      <c r="Y394" s="134"/>
      <c r="Z394" s="392"/>
    </row>
    <row r="395" spans="1:26" ht="39" customHeight="1">
      <c r="A395" s="315" t="s">
        <v>97</v>
      </c>
      <c r="B395" s="51" t="s">
        <v>75</v>
      </c>
      <c r="C395" s="330" t="s">
        <v>55</v>
      </c>
      <c r="D395" s="327" t="s">
        <v>49</v>
      </c>
      <c r="E395" s="300">
        <v>1.1499999999999999</v>
      </c>
      <c r="F395" s="324" t="s">
        <v>17</v>
      </c>
      <c r="G395" s="24">
        <f>G396+G398+G400+G404+G405</f>
        <v>108061</v>
      </c>
      <c r="H395" s="24">
        <f>H396+H398+H400+H404+H405</f>
        <v>0</v>
      </c>
      <c r="I395" s="25"/>
      <c r="J395" s="25"/>
      <c r="K395" s="25"/>
      <c r="L395" s="24">
        <f>L396+L398+L400+L404+L405</f>
        <v>0</v>
      </c>
      <c r="M395" s="25">
        <v>0</v>
      </c>
      <c r="N395" s="25">
        <v>0</v>
      </c>
      <c r="O395" s="25">
        <v>0</v>
      </c>
      <c r="P395" s="24">
        <f>P396+P398+P400+P404+P405</f>
        <v>0</v>
      </c>
      <c r="Q395" s="25">
        <v>0</v>
      </c>
      <c r="R395" s="25">
        <v>0</v>
      </c>
      <c r="S395" s="25">
        <v>0</v>
      </c>
      <c r="T395" s="24">
        <f>P395</f>
        <v>0</v>
      </c>
      <c r="U395" s="24">
        <f>I395+M395+Q395</f>
        <v>0</v>
      </c>
      <c r="V395" s="24">
        <f t="shared" ref="V395:W396" si="240">J395+N395+R395</f>
        <v>0</v>
      </c>
      <c r="W395" s="24">
        <f t="shared" si="240"/>
        <v>0</v>
      </c>
      <c r="X395" s="25"/>
      <c r="Y395" s="25"/>
      <c r="Z395" s="329"/>
    </row>
    <row r="396" spans="1:26">
      <c r="A396" s="316"/>
      <c r="B396" s="21" t="s">
        <v>123</v>
      </c>
      <c r="C396" s="331"/>
      <c r="D396" s="328"/>
      <c r="E396" s="393"/>
      <c r="F396" s="325"/>
      <c r="G396" s="285">
        <v>108061</v>
      </c>
      <c r="H396" s="285"/>
      <c r="I396" s="128"/>
      <c r="J396" s="128"/>
      <c r="K396" s="128"/>
      <c r="L396" s="285">
        <f t="shared" ref="L396:L397" si="241">D396+H396</f>
        <v>0</v>
      </c>
      <c r="M396" s="128"/>
      <c r="N396" s="128"/>
      <c r="O396" s="128"/>
      <c r="P396" s="285">
        <v>0</v>
      </c>
      <c r="Q396" s="285">
        <v>0</v>
      </c>
      <c r="R396" s="285">
        <v>0</v>
      </c>
      <c r="S396" s="285">
        <v>0</v>
      </c>
      <c r="T396" s="285">
        <f>P396</f>
        <v>0</v>
      </c>
      <c r="U396" s="285">
        <f>I396+M396+Q396</f>
        <v>0</v>
      </c>
      <c r="V396" s="285">
        <f t="shared" si="240"/>
        <v>0</v>
      </c>
      <c r="W396" s="285">
        <f t="shared" si="240"/>
        <v>0</v>
      </c>
      <c r="X396" s="285"/>
      <c r="Y396" s="285">
        <v>108061</v>
      </c>
      <c r="Z396" s="328"/>
    </row>
    <row r="397" spans="1:26">
      <c r="A397" s="316"/>
      <c r="B397" s="38" t="s">
        <v>25</v>
      </c>
      <c r="C397" s="331"/>
      <c r="D397" s="328"/>
      <c r="E397" s="393"/>
      <c r="F397" s="325"/>
      <c r="G397" s="392"/>
      <c r="H397" s="287"/>
      <c r="I397" s="130"/>
      <c r="J397" s="130"/>
      <c r="K397" s="130"/>
      <c r="L397" s="287">
        <f t="shared" si="241"/>
        <v>0</v>
      </c>
      <c r="M397" s="130"/>
      <c r="N397" s="130"/>
      <c r="O397" s="130"/>
      <c r="P397" s="287">
        <f t="shared" ref="P397" si="242">H397+L397</f>
        <v>0</v>
      </c>
      <c r="Q397" s="287"/>
      <c r="R397" s="287"/>
      <c r="S397" s="287"/>
      <c r="T397" s="287">
        <f t="shared" ref="T397:U397" si="243">H397+L397</f>
        <v>0</v>
      </c>
      <c r="U397" s="287">
        <f t="shared" si="243"/>
        <v>0</v>
      </c>
      <c r="V397" s="287">
        <f t="shared" ref="V397" si="244">J397+N397</f>
        <v>0</v>
      </c>
      <c r="W397" s="287">
        <f t="shared" ref="W397" si="245">K397+O397</f>
        <v>0</v>
      </c>
      <c r="X397" s="287"/>
      <c r="Y397" s="287"/>
      <c r="Z397" s="328"/>
    </row>
    <row r="398" spans="1:26">
      <c r="A398" s="316"/>
      <c r="B398" s="22" t="s">
        <v>27</v>
      </c>
      <c r="C398" s="331"/>
      <c r="D398" s="328"/>
      <c r="E398" s="393"/>
      <c r="F398" s="325"/>
      <c r="G398" s="144">
        <v>0</v>
      </c>
      <c r="H398" s="130"/>
      <c r="I398" s="130"/>
      <c r="J398" s="130"/>
      <c r="K398" s="130"/>
      <c r="L398" s="144">
        <v>0</v>
      </c>
      <c r="M398" s="130"/>
      <c r="N398" s="130"/>
      <c r="O398" s="130"/>
      <c r="P398" s="240">
        <v>0</v>
      </c>
      <c r="Q398" s="233"/>
      <c r="R398" s="233"/>
      <c r="S398" s="233"/>
      <c r="T398" s="144">
        <f>H398+L398</f>
        <v>0</v>
      </c>
      <c r="U398" s="243">
        <f>I398+M398+Q398</f>
        <v>0</v>
      </c>
      <c r="V398" s="144">
        <f>J398+N398</f>
        <v>0</v>
      </c>
      <c r="W398" s="144">
        <f>K398+O398</f>
        <v>0</v>
      </c>
      <c r="X398" s="130"/>
      <c r="Y398" s="130"/>
      <c r="Z398" s="328"/>
    </row>
    <row r="399" spans="1:26">
      <c r="A399" s="316"/>
      <c r="B399" s="42" t="s">
        <v>37</v>
      </c>
      <c r="C399" s="331"/>
      <c r="D399" s="328"/>
      <c r="E399" s="393"/>
      <c r="F399" s="325"/>
      <c r="G399" s="145">
        <v>0</v>
      </c>
      <c r="H399" s="130"/>
      <c r="I399" s="130"/>
      <c r="J399" s="130"/>
      <c r="K399" s="130"/>
      <c r="L399" s="145">
        <v>0</v>
      </c>
      <c r="M399" s="130"/>
      <c r="N399" s="130"/>
      <c r="O399" s="130"/>
      <c r="P399" s="239">
        <v>0</v>
      </c>
      <c r="Q399" s="233"/>
      <c r="R399" s="233"/>
      <c r="S399" s="233"/>
      <c r="T399" s="145">
        <f t="shared" ref="T399:W405" si="246">H399+L399</f>
        <v>0</v>
      </c>
      <c r="U399" s="244">
        <f>I399+M399+Q399</f>
        <v>0</v>
      </c>
      <c r="V399" s="145">
        <f t="shared" si="246"/>
        <v>0</v>
      </c>
      <c r="W399" s="145">
        <f t="shared" si="246"/>
        <v>0</v>
      </c>
      <c r="X399" s="130"/>
      <c r="Y399" s="130"/>
      <c r="Z399" s="328"/>
    </row>
    <row r="400" spans="1:26">
      <c r="A400" s="316"/>
      <c r="B400" s="22" t="s">
        <v>28</v>
      </c>
      <c r="C400" s="331"/>
      <c r="D400" s="328"/>
      <c r="E400" s="393"/>
      <c r="F400" s="325"/>
      <c r="G400" s="144">
        <v>0</v>
      </c>
      <c r="H400" s="130"/>
      <c r="I400" s="130"/>
      <c r="J400" s="130"/>
      <c r="K400" s="130"/>
      <c r="L400" s="144">
        <v>0</v>
      </c>
      <c r="M400" s="130"/>
      <c r="N400" s="130"/>
      <c r="O400" s="130"/>
      <c r="P400" s="240">
        <v>0</v>
      </c>
      <c r="Q400" s="233"/>
      <c r="R400" s="233"/>
      <c r="S400" s="233"/>
      <c r="T400" s="144">
        <f t="shared" si="246"/>
        <v>0</v>
      </c>
      <c r="U400" s="243">
        <f>I400+M400+Q400</f>
        <v>0</v>
      </c>
      <c r="V400" s="144">
        <f t="shared" si="246"/>
        <v>0</v>
      </c>
      <c r="W400" s="144">
        <f t="shared" si="246"/>
        <v>0</v>
      </c>
      <c r="X400" s="130"/>
      <c r="Y400" s="130"/>
      <c r="Z400" s="328"/>
    </row>
    <row r="401" spans="1:26">
      <c r="A401" s="316"/>
      <c r="B401" s="42" t="s">
        <v>39</v>
      </c>
      <c r="C401" s="400"/>
      <c r="D401" s="393"/>
      <c r="E401" s="393"/>
      <c r="F401" s="393"/>
      <c r="G401" s="145">
        <v>0</v>
      </c>
      <c r="H401" s="134"/>
      <c r="I401" s="134"/>
      <c r="J401" s="134"/>
      <c r="K401" s="134"/>
      <c r="L401" s="145">
        <v>0</v>
      </c>
      <c r="M401" s="134"/>
      <c r="N401" s="134"/>
      <c r="O401" s="134"/>
      <c r="P401" s="239">
        <v>0</v>
      </c>
      <c r="Q401" s="240"/>
      <c r="R401" s="240"/>
      <c r="S401" s="240"/>
      <c r="T401" s="145">
        <f t="shared" si="246"/>
        <v>0</v>
      </c>
      <c r="U401" s="244">
        <f>I401+M401+Q401</f>
        <v>0</v>
      </c>
      <c r="V401" s="145">
        <f t="shared" si="246"/>
        <v>0</v>
      </c>
      <c r="W401" s="145">
        <f t="shared" si="246"/>
        <v>0</v>
      </c>
      <c r="X401" s="134"/>
      <c r="Y401" s="134"/>
      <c r="Z401" s="393"/>
    </row>
    <row r="402" spans="1:26">
      <c r="A402" s="316"/>
      <c r="B402" s="39" t="s">
        <v>30</v>
      </c>
      <c r="C402" s="400"/>
      <c r="D402" s="393"/>
      <c r="E402" s="393"/>
      <c r="F402" s="393"/>
      <c r="G402" s="145">
        <v>0</v>
      </c>
      <c r="H402" s="134"/>
      <c r="I402" s="134"/>
      <c r="J402" s="134"/>
      <c r="K402" s="134"/>
      <c r="L402" s="145">
        <v>0</v>
      </c>
      <c r="M402" s="134"/>
      <c r="N402" s="134"/>
      <c r="O402" s="134"/>
      <c r="P402" s="239">
        <v>0</v>
      </c>
      <c r="Q402" s="240"/>
      <c r="R402" s="240"/>
      <c r="S402" s="240"/>
      <c r="T402" s="145">
        <f t="shared" si="246"/>
        <v>0</v>
      </c>
      <c r="U402" s="244">
        <f t="shared" ref="U402:U403" si="247">I402+M402+Q402</f>
        <v>0</v>
      </c>
      <c r="V402" s="145">
        <f t="shared" si="246"/>
        <v>0</v>
      </c>
      <c r="W402" s="145">
        <f t="shared" si="246"/>
        <v>0</v>
      </c>
      <c r="X402" s="134"/>
      <c r="Y402" s="134"/>
      <c r="Z402" s="393"/>
    </row>
    <row r="403" spans="1:26">
      <c r="A403" s="316"/>
      <c r="B403" s="39" t="s">
        <v>31</v>
      </c>
      <c r="C403" s="400"/>
      <c r="D403" s="393"/>
      <c r="E403" s="393"/>
      <c r="F403" s="393"/>
      <c r="G403" s="145">
        <v>0</v>
      </c>
      <c r="H403" s="134"/>
      <c r="I403" s="134"/>
      <c r="J403" s="134"/>
      <c r="K403" s="134"/>
      <c r="L403" s="145">
        <v>0</v>
      </c>
      <c r="M403" s="134"/>
      <c r="N403" s="134"/>
      <c r="O403" s="134"/>
      <c r="P403" s="239">
        <v>0</v>
      </c>
      <c r="Q403" s="240"/>
      <c r="R403" s="240"/>
      <c r="S403" s="240"/>
      <c r="T403" s="145">
        <f t="shared" si="246"/>
        <v>0</v>
      </c>
      <c r="U403" s="244">
        <f t="shared" si="247"/>
        <v>0</v>
      </c>
      <c r="V403" s="145">
        <f t="shared" si="246"/>
        <v>0</v>
      </c>
      <c r="W403" s="145">
        <f t="shared" si="246"/>
        <v>0</v>
      </c>
      <c r="X403" s="134"/>
      <c r="Y403" s="134"/>
      <c r="Z403" s="393"/>
    </row>
    <row r="404" spans="1:26">
      <c r="A404" s="316"/>
      <c r="B404" s="22" t="s">
        <v>35</v>
      </c>
      <c r="C404" s="400"/>
      <c r="D404" s="393"/>
      <c r="E404" s="393"/>
      <c r="F404" s="393"/>
      <c r="G404" s="144">
        <v>0</v>
      </c>
      <c r="H404" s="134"/>
      <c r="I404" s="134"/>
      <c r="J404" s="134"/>
      <c r="K404" s="134"/>
      <c r="L404" s="144">
        <v>0</v>
      </c>
      <c r="M404" s="134"/>
      <c r="N404" s="134"/>
      <c r="O404" s="134"/>
      <c r="P404" s="240">
        <v>0</v>
      </c>
      <c r="Q404" s="240"/>
      <c r="R404" s="240"/>
      <c r="S404" s="240"/>
      <c r="T404" s="144">
        <f t="shared" si="246"/>
        <v>0</v>
      </c>
      <c r="U404" s="243">
        <f>I404+M404+Q404</f>
        <v>0</v>
      </c>
      <c r="V404" s="144">
        <f t="shared" si="246"/>
        <v>0</v>
      </c>
      <c r="W404" s="144">
        <f t="shared" si="246"/>
        <v>0</v>
      </c>
      <c r="X404" s="134"/>
      <c r="Y404" s="134"/>
      <c r="Z404" s="393"/>
    </row>
    <row r="405" spans="1:26">
      <c r="A405" s="316"/>
      <c r="B405" s="22" t="s">
        <v>36</v>
      </c>
      <c r="C405" s="401"/>
      <c r="D405" s="392"/>
      <c r="E405" s="392"/>
      <c r="F405" s="392"/>
      <c r="G405" s="144">
        <v>0</v>
      </c>
      <c r="H405" s="134"/>
      <c r="I405" s="134"/>
      <c r="J405" s="134"/>
      <c r="K405" s="134"/>
      <c r="L405" s="144">
        <v>0</v>
      </c>
      <c r="M405" s="134"/>
      <c r="N405" s="134"/>
      <c r="O405" s="134"/>
      <c r="P405" s="240">
        <v>0</v>
      </c>
      <c r="Q405" s="240"/>
      <c r="R405" s="240"/>
      <c r="S405" s="240"/>
      <c r="T405" s="144">
        <f t="shared" si="246"/>
        <v>0</v>
      </c>
      <c r="U405" s="243">
        <f>I405+M405+Q405</f>
        <v>0</v>
      </c>
      <c r="V405" s="144">
        <f t="shared" si="246"/>
        <v>0</v>
      </c>
      <c r="W405" s="144">
        <f t="shared" si="246"/>
        <v>0</v>
      </c>
      <c r="X405" s="134"/>
      <c r="Y405" s="134"/>
      <c r="Z405" s="392"/>
    </row>
    <row r="406" spans="1:26" ht="18.75" customHeight="1">
      <c r="A406" s="315" t="s">
        <v>98</v>
      </c>
      <c r="B406" s="34" t="s">
        <v>57</v>
      </c>
      <c r="C406" s="330" t="s">
        <v>41</v>
      </c>
      <c r="D406" s="327" t="s">
        <v>49</v>
      </c>
      <c r="E406" s="300">
        <v>20</v>
      </c>
      <c r="F406" s="324" t="s">
        <v>17</v>
      </c>
      <c r="G406" s="24">
        <f>G407+G409+G411+G415+G416</f>
        <v>8709.7999999999993</v>
      </c>
      <c r="H406" s="24">
        <f>H407+H409+H411+H415+H416</f>
        <v>0</v>
      </c>
      <c r="I406" s="25"/>
      <c r="J406" s="25"/>
      <c r="K406" s="25"/>
      <c r="L406" s="24">
        <f>L407+L409+L411+L415+L416</f>
        <v>791.8</v>
      </c>
      <c r="M406" s="25">
        <v>0</v>
      </c>
      <c r="N406" s="25">
        <v>0</v>
      </c>
      <c r="O406" s="25">
        <v>0</v>
      </c>
      <c r="P406" s="24">
        <f>P407+P409+P411+P415+P416</f>
        <v>0</v>
      </c>
      <c r="Q406" s="25">
        <v>0</v>
      </c>
      <c r="R406" s="25">
        <v>0</v>
      </c>
      <c r="S406" s="25">
        <v>0</v>
      </c>
      <c r="T406" s="24">
        <f>H406+L406+P406</f>
        <v>791.8</v>
      </c>
      <c r="U406" s="24">
        <f>I406+M406+Q406</f>
        <v>0</v>
      </c>
      <c r="V406" s="24">
        <f t="shared" ref="V406:W407" si="248">J406+N406+R406</f>
        <v>0</v>
      </c>
      <c r="W406" s="24">
        <f t="shared" si="248"/>
        <v>0</v>
      </c>
      <c r="X406" s="25"/>
      <c r="Y406" s="25"/>
      <c r="Z406" s="329"/>
    </row>
    <row r="407" spans="1:26">
      <c r="A407" s="316"/>
      <c r="B407" s="21" t="s">
        <v>123</v>
      </c>
      <c r="C407" s="331"/>
      <c r="D407" s="328"/>
      <c r="E407" s="393"/>
      <c r="F407" s="325"/>
      <c r="G407" s="285">
        <f>X407+Y407</f>
        <v>8709.7999999999993</v>
      </c>
      <c r="H407" s="285"/>
      <c r="I407" s="128"/>
      <c r="J407" s="128"/>
      <c r="K407" s="128"/>
      <c r="L407" s="285">
        <v>791.8</v>
      </c>
      <c r="M407" s="128"/>
      <c r="N407" s="128"/>
      <c r="O407" s="128"/>
      <c r="P407" s="285">
        <v>0</v>
      </c>
      <c r="Q407" s="285">
        <v>0</v>
      </c>
      <c r="R407" s="285">
        <v>0</v>
      </c>
      <c r="S407" s="285">
        <v>0</v>
      </c>
      <c r="T407" s="285">
        <f>H407+L407+P407</f>
        <v>791.8</v>
      </c>
      <c r="U407" s="285">
        <f>I407+M407+Q407</f>
        <v>0</v>
      </c>
      <c r="V407" s="285">
        <f t="shared" si="248"/>
        <v>0</v>
      </c>
      <c r="W407" s="285">
        <f t="shared" si="248"/>
        <v>0</v>
      </c>
      <c r="X407" s="285">
        <v>791.8</v>
      </c>
      <c r="Y407" s="285">
        <v>7918</v>
      </c>
      <c r="Z407" s="328"/>
    </row>
    <row r="408" spans="1:26">
      <c r="A408" s="316"/>
      <c r="B408" s="38" t="s">
        <v>25</v>
      </c>
      <c r="C408" s="331"/>
      <c r="D408" s="328"/>
      <c r="E408" s="393"/>
      <c r="F408" s="325"/>
      <c r="G408" s="287"/>
      <c r="H408" s="287"/>
      <c r="I408" s="130"/>
      <c r="J408" s="130"/>
      <c r="K408" s="130"/>
      <c r="L408" s="287"/>
      <c r="M408" s="130"/>
      <c r="N408" s="130"/>
      <c r="O408" s="130"/>
      <c r="P408" s="287"/>
      <c r="Q408" s="287"/>
      <c r="R408" s="287"/>
      <c r="S408" s="287"/>
      <c r="T408" s="287">
        <f t="shared" ref="T408:U408" si="249">H408+L408</f>
        <v>0</v>
      </c>
      <c r="U408" s="287">
        <f t="shared" si="249"/>
        <v>0</v>
      </c>
      <c r="V408" s="287">
        <f t="shared" ref="V408" si="250">J408+N408</f>
        <v>0</v>
      </c>
      <c r="W408" s="287">
        <f t="shared" ref="W408" si="251">K408+O408</f>
        <v>0</v>
      </c>
      <c r="X408" s="287"/>
      <c r="Y408" s="287"/>
      <c r="Z408" s="328"/>
    </row>
    <row r="409" spans="1:26">
      <c r="A409" s="316"/>
      <c r="B409" s="22" t="s">
        <v>27</v>
      </c>
      <c r="C409" s="331"/>
      <c r="D409" s="328"/>
      <c r="E409" s="393"/>
      <c r="F409" s="325"/>
      <c r="G409" s="144">
        <v>0</v>
      </c>
      <c r="H409" s="130"/>
      <c r="I409" s="130"/>
      <c r="J409" s="130"/>
      <c r="K409" s="130"/>
      <c r="L409" s="144">
        <v>0</v>
      </c>
      <c r="M409" s="130"/>
      <c r="N409" s="130"/>
      <c r="O409" s="130"/>
      <c r="P409" s="240">
        <v>0</v>
      </c>
      <c r="Q409" s="233"/>
      <c r="R409" s="233"/>
      <c r="S409" s="233"/>
      <c r="T409" s="144">
        <f>H409+L409</f>
        <v>0</v>
      </c>
      <c r="U409" s="243">
        <f>I409+M409+Q409</f>
        <v>0</v>
      </c>
      <c r="V409" s="144">
        <f>J409+N409</f>
        <v>0</v>
      </c>
      <c r="W409" s="144">
        <f>K409+O409</f>
        <v>0</v>
      </c>
      <c r="X409" s="130"/>
      <c r="Y409" s="130"/>
      <c r="Z409" s="328"/>
    </row>
    <row r="410" spans="1:26">
      <c r="A410" s="316"/>
      <c r="B410" s="42" t="s">
        <v>37</v>
      </c>
      <c r="C410" s="331"/>
      <c r="D410" s="328"/>
      <c r="E410" s="393"/>
      <c r="F410" s="325"/>
      <c r="G410" s="145">
        <v>0</v>
      </c>
      <c r="H410" s="130"/>
      <c r="I410" s="130"/>
      <c r="J410" s="130"/>
      <c r="K410" s="130"/>
      <c r="L410" s="145">
        <v>0</v>
      </c>
      <c r="M410" s="130"/>
      <c r="N410" s="130"/>
      <c r="O410" s="130"/>
      <c r="P410" s="239">
        <v>0</v>
      </c>
      <c r="Q410" s="233"/>
      <c r="R410" s="233"/>
      <c r="S410" s="233"/>
      <c r="T410" s="145">
        <f t="shared" ref="T410:W416" si="252">H410+L410</f>
        <v>0</v>
      </c>
      <c r="U410" s="244">
        <f>I410+M410+Q410</f>
        <v>0</v>
      </c>
      <c r="V410" s="145">
        <f t="shared" si="252"/>
        <v>0</v>
      </c>
      <c r="W410" s="145">
        <f t="shared" si="252"/>
        <v>0</v>
      </c>
      <c r="X410" s="130"/>
      <c r="Y410" s="130"/>
      <c r="Z410" s="328"/>
    </row>
    <row r="411" spans="1:26">
      <c r="A411" s="316"/>
      <c r="B411" s="22" t="s">
        <v>28</v>
      </c>
      <c r="C411" s="331"/>
      <c r="D411" s="328"/>
      <c r="E411" s="393"/>
      <c r="F411" s="325"/>
      <c r="G411" s="144">
        <v>0</v>
      </c>
      <c r="H411" s="130"/>
      <c r="I411" s="130"/>
      <c r="J411" s="130"/>
      <c r="K411" s="130"/>
      <c r="L411" s="144">
        <v>0</v>
      </c>
      <c r="M411" s="130"/>
      <c r="N411" s="130"/>
      <c r="O411" s="130"/>
      <c r="P411" s="240">
        <v>0</v>
      </c>
      <c r="Q411" s="233"/>
      <c r="R411" s="233"/>
      <c r="S411" s="233"/>
      <c r="T411" s="144">
        <f t="shared" si="252"/>
        <v>0</v>
      </c>
      <c r="U411" s="243">
        <f>I411+M411+Q411</f>
        <v>0</v>
      </c>
      <c r="V411" s="144">
        <f t="shared" si="252"/>
        <v>0</v>
      </c>
      <c r="W411" s="144">
        <f t="shared" si="252"/>
        <v>0</v>
      </c>
      <c r="X411" s="130"/>
      <c r="Y411" s="130"/>
      <c r="Z411" s="328"/>
    </row>
    <row r="412" spans="1:26">
      <c r="A412" s="316"/>
      <c r="B412" s="42" t="s">
        <v>39</v>
      </c>
      <c r="C412" s="400"/>
      <c r="D412" s="393"/>
      <c r="E412" s="393"/>
      <c r="F412" s="393"/>
      <c r="G412" s="145">
        <v>0</v>
      </c>
      <c r="H412" s="134"/>
      <c r="I412" s="134"/>
      <c r="J412" s="134"/>
      <c r="K412" s="134"/>
      <c r="L412" s="145">
        <v>0</v>
      </c>
      <c r="M412" s="134"/>
      <c r="N412" s="134"/>
      <c r="O412" s="134"/>
      <c r="P412" s="239">
        <v>0</v>
      </c>
      <c r="Q412" s="240"/>
      <c r="R412" s="240"/>
      <c r="S412" s="240"/>
      <c r="T412" s="145">
        <f t="shared" si="252"/>
        <v>0</v>
      </c>
      <c r="U412" s="244">
        <f>I412+M412+Q412</f>
        <v>0</v>
      </c>
      <c r="V412" s="145">
        <f t="shared" si="252"/>
        <v>0</v>
      </c>
      <c r="W412" s="145">
        <f t="shared" si="252"/>
        <v>0</v>
      </c>
      <c r="X412" s="134"/>
      <c r="Y412" s="134"/>
      <c r="Z412" s="393"/>
    </row>
    <row r="413" spans="1:26">
      <c r="A413" s="316"/>
      <c r="B413" s="39" t="s">
        <v>30</v>
      </c>
      <c r="C413" s="400"/>
      <c r="D413" s="393"/>
      <c r="E413" s="393"/>
      <c r="F413" s="393"/>
      <c r="G413" s="145">
        <v>0</v>
      </c>
      <c r="H413" s="134"/>
      <c r="I413" s="134"/>
      <c r="J413" s="134"/>
      <c r="K413" s="134"/>
      <c r="L413" s="145">
        <v>0</v>
      </c>
      <c r="M413" s="134"/>
      <c r="N413" s="134"/>
      <c r="O413" s="134"/>
      <c r="P413" s="239">
        <v>0</v>
      </c>
      <c r="Q413" s="240"/>
      <c r="R413" s="240"/>
      <c r="S413" s="240"/>
      <c r="T413" s="145">
        <f t="shared" si="252"/>
        <v>0</v>
      </c>
      <c r="U413" s="244">
        <f t="shared" ref="U413:U414" si="253">I413+M413+Q413</f>
        <v>0</v>
      </c>
      <c r="V413" s="145">
        <f t="shared" si="252"/>
        <v>0</v>
      </c>
      <c r="W413" s="145">
        <f t="shared" si="252"/>
        <v>0</v>
      </c>
      <c r="X413" s="134"/>
      <c r="Y413" s="134"/>
      <c r="Z413" s="393"/>
    </row>
    <row r="414" spans="1:26">
      <c r="A414" s="316"/>
      <c r="B414" s="39" t="s">
        <v>31</v>
      </c>
      <c r="C414" s="400"/>
      <c r="D414" s="393"/>
      <c r="E414" s="393"/>
      <c r="F414" s="393"/>
      <c r="G414" s="145">
        <v>0</v>
      </c>
      <c r="H414" s="134"/>
      <c r="I414" s="134"/>
      <c r="J414" s="134"/>
      <c r="K414" s="134"/>
      <c r="L414" s="145">
        <v>0</v>
      </c>
      <c r="M414" s="134"/>
      <c r="N414" s="134"/>
      <c r="O414" s="134"/>
      <c r="P414" s="239">
        <v>0</v>
      </c>
      <c r="Q414" s="240"/>
      <c r="R414" s="240"/>
      <c r="S414" s="240"/>
      <c r="T414" s="145">
        <f t="shared" si="252"/>
        <v>0</v>
      </c>
      <c r="U414" s="244">
        <f t="shared" si="253"/>
        <v>0</v>
      </c>
      <c r="V414" s="145">
        <f t="shared" si="252"/>
        <v>0</v>
      </c>
      <c r="W414" s="145">
        <f t="shared" si="252"/>
        <v>0</v>
      </c>
      <c r="X414" s="134"/>
      <c r="Y414" s="134"/>
      <c r="Z414" s="393"/>
    </row>
    <row r="415" spans="1:26">
      <c r="A415" s="316"/>
      <c r="B415" s="22" t="s">
        <v>35</v>
      </c>
      <c r="C415" s="400"/>
      <c r="D415" s="393"/>
      <c r="E415" s="393"/>
      <c r="F415" s="393"/>
      <c r="G415" s="144">
        <v>0</v>
      </c>
      <c r="H415" s="134"/>
      <c r="I415" s="134"/>
      <c r="J415" s="134"/>
      <c r="K415" s="134"/>
      <c r="L415" s="144">
        <v>0</v>
      </c>
      <c r="M415" s="134"/>
      <c r="N415" s="134"/>
      <c r="O415" s="134"/>
      <c r="P415" s="240">
        <v>0</v>
      </c>
      <c r="Q415" s="240"/>
      <c r="R415" s="240"/>
      <c r="S415" s="240"/>
      <c r="T415" s="144">
        <f t="shared" si="252"/>
        <v>0</v>
      </c>
      <c r="U415" s="243">
        <f>I415+M415+Q415</f>
        <v>0</v>
      </c>
      <c r="V415" s="144">
        <f t="shared" si="252"/>
        <v>0</v>
      </c>
      <c r="W415" s="144">
        <f t="shared" si="252"/>
        <v>0</v>
      </c>
      <c r="X415" s="134"/>
      <c r="Y415" s="134"/>
      <c r="Z415" s="393"/>
    </row>
    <row r="416" spans="1:26">
      <c r="A416" s="316"/>
      <c r="B416" s="22" t="s">
        <v>36</v>
      </c>
      <c r="C416" s="401"/>
      <c r="D416" s="392"/>
      <c r="E416" s="392"/>
      <c r="F416" s="392"/>
      <c r="G416" s="144">
        <v>0</v>
      </c>
      <c r="H416" s="134"/>
      <c r="I416" s="134"/>
      <c r="J416" s="134"/>
      <c r="K416" s="134"/>
      <c r="L416" s="144">
        <v>0</v>
      </c>
      <c r="M416" s="134"/>
      <c r="N416" s="134"/>
      <c r="O416" s="134"/>
      <c r="P416" s="240">
        <v>0</v>
      </c>
      <c r="Q416" s="240"/>
      <c r="R416" s="240"/>
      <c r="S416" s="240"/>
      <c r="T416" s="144">
        <f t="shared" si="252"/>
        <v>0</v>
      </c>
      <c r="U416" s="243">
        <f>I416+M416+Q416</f>
        <v>0</v>
      </c>
      <c r="V416" s="144">
        <f t="shared" si="252"/>
        <v>0</v>
      </c>
      <c r="W416" s="144">
        <f t="shared" si="252"/>
        <v>0</v>
      </c>
      <c r="X416" s="134"/>
      <c r="Y416" s="134"/>
      <c r="Z416" s="392"/>
    </row>
    <row r="417" spans="1:27" ht="27" customHeight="1">
      <c r="A417" s="315" t="s">
        <v>99</v>
      </c>
      <c r="B417" s="65" t="s">
        <v>116</v>
      </c>
      <c r="C417" s="330" t="s">
        <v>55</v>
      </c>
      <c r="D417" s="327" t="s">
        <v>49</v>
      </c>
      <c r="E417" s="300">
        <v>23</v>
      </c>
      <c r="F417" s="324" t="s">
        <v>16</v>
      </c>
      <c r="G417" s="24">
        <f>G418+G420+G422+G426+G427</f>
        <v>787252.1</v>
      </c>
      <c r="H417" s="24">
        <f>H418+H420+H422+H426+H427</f>
        <v>0</v>
      </c>
      <c r="I417" s="25"/>
      <c r="J417" s="25"/>
      <c r="K417" s="25"/>
      <c r="L417" s="24">
        <f>L418+L420+L422+L426+L427</f>
        <v>425637.1</v>
      </c>
      <c r="M417" s="25">
        <v>0</v>
      </c>
      <c r="N417" s="25">
        <v>0</v>
      </c>
      <c r="O417" s="25">
        <v>0</v>
      </c>
      <c r="P417" s="24">
        <f>P418+P420+P422+P426+P427</f>
        <v>0</v>
      </c>
      <c r="Q417" s="25">
        <v>0</v>
      </c>
      <c r="R417" s="25">
        <v>0</v>
      </c>
      <c r="S417" s="25">
        <v>0</v>
      </c>
      <c r="T417" s="24">
        <f>H417+L417+P417</f>
        <v>425637.1</v>
      </c>
      <c r="U417" s="24">
        <f>I417+M417+Q417</f>
        <v>0</v>
      </c>
      <c r="V417" s="24">
        <f t="shared" ref="V417:W418" si="254">J417+N417+R417</f>
        <v>0</v>
      </c>
      <c r="W417" s="24">
        <f t="shared" si="254"/>
        <v>0</v>
      </c>
      <c r="X417" s="25"/>
      <c r="Y417" s="25"/>
      <c r="Z417" s="329"/>
    </row>
    <row r="418" spans="1:27">
      <c r="A418" s="316"/>
      <c r="B418" s="21" t="s">
        <v>123</v>
      </c>
      <c r="C418" s="331"/>
      <c r="D418" s="328"/>
      <c r="E418" s="393"/>
      <c r="F418" s="325"/>
      <c r="G418" s="285">
        <v>787252.1</v>
      </c>
      <c r="H418" s="285"/>
      <c r="I418" s="128"/>
      <c r="J418" s="128"/>
      <c r="K418" s="128"/>
      <c r="L418" s="285">
        <v>425637.1</v>
      </c>
      <c r="M418" s="128"/>
      <c r="N418" s="128"/>
      <c r="O418" s="128"/>
      <c r="P418" s="285">
        <v>0</v>
      </c>
      <c r="Q418" s="285">
        <v>0</v>
      </c>
      <c r="R418" s="285">
        <v>0</v>
      </c>
      <c r="S418" s="285">
        <v>0</v>
      </c>
      <c r="T418" s="285">
        <f>H418+L418+P418</f>
        <v>425637.1</v>
      </c>
      <c r="U418" s="285">
        <f>I418+M418+Q418</f>
        <v>0</v>
      </c>
      <c r="V418" s="285">
        <f t="shared" si="254"/>
        <v>0</v>
      </c>
      <c r="W418" s="285">
        <f t="shared" si="254"/>
        <v>0</v>
      </c>
      <c r="X418" s="285">
        <v>425637.1</v>
      </c>
      <c r="Y418" s="285">
        <f>355078.1+6536.9</f>
        <v>361615</v>
      </c>
      <c r="Z418" s="328"/>
    </row>
    <row r="419" spans="1:27">
      <c r="A419" s="316"/>
      <c r="B419" s="38" t="s">
        <v>25</v>
      </c>
      <c r="C419" s="331"/>
      <c r="D419" s="328"/>
      <c r="E419" s="393"/>
      <c r="F419" s="325"/>
      <c r="G419" s="287"/>
      <c r="H419" s="287"/>
      <c r="I419" s="130"/>
      <c r="J419" s="130"/>
      <c r="K419" s="130"/>
      <c r="L419" s="287"/>
      <c r="M419" s="130"/>
      <c r="N419" s="130"/>
      <c r="O419" s="130"/>
      <c r="P419" s="287"/>
      <c r="Q419" s="287"/>
      <c r="R419" s="287"/>
      <c r="S419" s="287"/>
      <c r="T419" s="287">
        <f t="shared" ref="T419:U419" si="255">H419+L419</f>
        <v>0</v>
      </c>
      <c r="U419" s="287">
        <f t="shared" si="255"/>
        <v>0</v>
      </c>
      <c r="V419" s="287">
        <f t="shared" ref="V419" si="256">J419+N419</f>
        <v>0</v>
      </c>
      <c r="W419" s="287">
        <f t="shared" ref="W419" si="257">K419+O419</f>
        <v>0</v>
      </c>
      <c r="X419" s="287"/>
      <c r="Y419" s="287"/>
      <c r="Z419" s="328"/>
    </row>
    <row r="420" spans="1:27">
      <c r="A420" s="316"/>
      <c r="B420" s="22" t="s">
        <v>27</v>
      </c>
      <c r="C420" s="331"/>
      <c r="D420" s="328"/>
      <c r="E420" s="393"/>
      <c r="F420" s="325"/>
      <c r="G420" s="144">
        <v>0</v>
      </c>
      <c r="H420" s="130"/>
      <c r="I420" s="130"/>
      <c r="J420" s="130"/>
      <c r="K420" s="130"/>
      <c r="L420" s="144">
        <v>0</v>
      </c>
      <c r="M420" s="130"/>
      <c r="N420" s="130"/>
      <c r="O420" s="130"/>
      <c r="P420" s="240">
        <v>0</v>
      </c>
      <c r="Q420" s="233"/>
      <c r="R420" s="233"/>
      <c r="S420" s="233"/>
      <c r="T420" s="144">
        <f>H420+L420</f>
        <v>0</v>
      </c>
      <c r="U420" s="243">
        <f>I420+M420+Q420</f>
        <v>0</v>
      </c>
      <c r="V420" s="144">
        <f>J420+N420</f>
        <v>0</v>
      </c>
      <c r="W420" s="144">
        <f>K420+O420</f>
        <v>0</v>
      </c>
      <c r="X420" s="130"/>
      <c r="Y420" s="130"/>
      <c r="Z420" s="328"/>
    </row>
    <row r="421" spans="1:27">
      <c r="A421" s="316"/>
      <c r="B421" s="42" t="s">
        <v>37</v>
      </c>
      <c r="C421" s="331"/>
      <c r="D421" s="328"/>
      <c r="E421" s="393"/>
      <c r="F421" s="325"/>
      <c r="G421" s="145">
        <v>0</v>
      </c>
      <c r="H421" s="130"/>
      <c r="I421" s="130"/>
      <c r="J421" s="130"/>
      <c r="K421" s="130"/>
      <c r="L421" s="145">
        <v>0</v>
      </c>
      <c r="M421" s="130"/>
      <c r="N421" s="130"/>
      <c r="O421" s="130"/>
      <c r="P421" s="239">
        <v>0</v>
      </c>
      <c r="Q421" s="233"/>
      <c r="R421" s="233"/>
      <c r="S421" s="233"/>
      <c r="T421" s="145">
        <f t="shared" ref="T421:W427" si="258">H421+L421</f>
        <v>0</v>
      </c>
      <c r="U421" s="244">
        <f>I421+M421+Q421</f>
        <v>0</v>
      </c>
      <c r="V421" s="145">
        <f t="shared" si="258"/>
        <v>0</v>
      </c>
      <c r="W421" s="145">
        <f t="shared" si="258"/>
        <v>0</v>
      </c>
      <c r="X421" s="130"/>
      <c r="Y421" s="130"/>
      <c r="Z421" s="328"/>
    </row>
    <row r="422" spans="1:27">
      <c r="A422" s="316"/>
      <c r="B422" s="22" t="s">
        <v>28</v>
      </c>
      <c r="C422" s="331"/>
      <c r="D422" s="328"/>
      <c r="E422" s="393"/>
      <c r="F422" s="325"/>
      <c r="G422" s="144">
        <v>0</v>
      </c>
      <c r="H422" s="130"/>
      <c r="I422" s="130"/>
      <c r="J422" s="130"/>
      <c r="K422" s="130"/>
      <c r="L422" s="144">
        <v>0</v>
      </c>
      <c r="M422" s="130"/>
      <c r="N422" s="130"/>
      <c r="O422" s="130"/>
      <c r="P422" s="240">
        <v>0</v>
      </c>
      <c r="Q422" s="233"/>
      <c r="R422" s="233"/>
      <c r="S422" s="233"/>
      <c r="T422" s="144">
        <f t="shared" si="258"/>
        <v>0</v>
      </c>
      <c r="U422" s="243">
        <f>I422+M422+Q422</f>
        <v>0</v>
      </c>
      <c r="V422" s="144">
        <f t="shared" si="258"/>
        <v>0</v>
      </c>
      <c r="W422" s="144">
        <f t="shared" si="258"/>
        <v>0</v>
      </c>
      <c r="X422" s="130"/>
      <c r="Y422" s="130"/>
      <c r="Z422" s="328"/>
    </row>
    <row r="423" spans="1:27">
      <c r="A423" s="316"/>
      <c r="B423" s="42" t="s">
        <v>39</v>
      </c>
      <c r="C423" s="400"/>
      <c r="D423" s="393"/>
      <c r="E423" s="393"/>
      <c r="F423" s="393"/>
      <c r="G423" s="145">
        <v>0</v>
      </c>
      <c r="H423" s="134"/>
      <c r="I423" s="134"/>
      <c r="J423" s="134"/>
      <c r="K423" s="134"/>
      <c r="L423" s="145">
        <v>0</v>
      </c>
      <c r="M423" s="134"/>
      <c r="N423" s="134"/>
      <c r="O423" s="134"/>
      <c r="P423" s="239">
        <v>0</v>
      </c>
      <c r="Q423" s="240"/>
      <c r="R423" s="240"/>
      <c r="S423" s="240"/>
      <c r="T423" s="145">
        <f t="shared" si="258"/>
        <v>0</v>
      </c>
      <c r="U423" s="244">
        <f>I423+M423+Q423</f>
        <v>0</v>
      </c>
      <c r="V423" s="145">
        <f t="shared" si="258"/>
        <v>0</v>
      </c>
      <c r="W423" s="145">
        <f t="shared" si="258"/>
        <v>0</v>
      </c>
      <c r="X423" s="134"/>
      <c r="Y423" s="134"/>
      <c r="Z423" s="393"/>
    </row>
    <row r="424" spans="1:27">
      <c r="A424" s="316"/>
      <c r="B424" s="39" t="s">
        <v>30</v>
      </c>
      <c r="C424" s="400"/>
      <c r="D424" s="393"/>
      <c r="E424" s="393"/>
      <c r="F424" s="393"/>
      <c r="G424" s="145">
        <v>0</v>
      </c>
      <c r="H424" s="134"/>
      <c r="I424" s="134"/>
      <c r="J424" s="134"/>
      <c r="K424" s="134"/>
      <c r="L424" s="145">
        <v>0</v>
      </c>
      <c r="M424" s="134"/>
      <c r="N424" s="134"/>
      <c r="O424" s="134"/>
      <c r="P424" s="239">
        <v>0</v>
      </c>
      <c r="Q424" s="240"/>
      <c r="R424" s="240"/>
      <c r="S424" s="240"/>
      <c r="T424" s="145">
        <f t="shared" si="258"/>
        <v>0</v>
      </c>
      <c r="U424" s="244">
        <f t="shared" ref="U424:U425" si="259">I424+M424+Q424</f>
        <v>0</v>
      </c>
      <c r="V424" s="145">
        <f t="shared" si="258"/>
        <v>0</v>
      </c>
      <c r="W424" s="145">
        <f t="shared" si="258"/>
        <v>0</v>
      </c>
      <c r="X424" s="134"/>
      <c r="Y424" s="134"/>
      <c r="Z424" s="393"/>
    </row>
    <row r="425" spans="1:27">
      <c r="A425" s="316"/>
      <c r="B425" s="39" t="s">
        <v>31</v>
      </c>
      <c r="C425" s="400"/>
      <c r="D425" s="393"/>
      <c r="E425" s="393"/>
      <c r="F425" s="393"/>
      <c r="G425" s="145">
        <v>0</v>
      </c>
      <c r="H425" s="134"/>
      <c r="I425" s="134"/>
      <c r="J425" s="134"/>
      <c r="K425" s="134"/>
      <c r="L425" s="145">
        <v>0</v>
      </c>
      <c r="M425" s="134"/>
      <c r="N425" s="134"/>
      <c r="O425" s="134"/>
      <c r="P425" s="239">
        <v>0</v>
      </c>
      <c r="Q425" s="240"/>
      <c r="R425" s="240"/>
      <c r="S425" s="240"/>
      <c r="T425" s="145">
        <f t="shared" si="258"/>
        <v>0</v>
      </c>
      <c r="U425" s="244">
        <f t="shared" si="259"/>
        <v>0</v>
      </c>
      <c r="V425" s="145">
        <f t="shared" si="258"/>
        <v>0</v>
      </c>
      <c r="W425" s="145">
        <f t="shared" si="258"/>
        <v>0</v>
      </c>
      <c r="X425" s="134"/>
      <c r="Y425" s="134"/>
      <c r="Z425" s="393"/>
    </row>
    <row r="426" spans="1:27">
      <c r="A426" s="316"/>
      <c r="B426" s="22" t="s">
        <v>35</v>
      </c>
      <c r="C426" s="400"/>
      <c r="D426" s="393"/>
      <c r="E426" s="393"/>
      <c r="F426" s="393"/>
      <c r="G426" s="144">
        <v>0</v>
      </c>
      <c r="H426" s="134"/>
      <c r="I426" s="134"/>
      <c r="J426" s="134"/>
      <c r="K426" s="134"/>
      <c r="L426" s="144">
        <v>0</v>
      </c>
      <c r="M426" s="134"/>
      <c r="N426" s="134"/>
      <c r="O426" s="134"/>
      <c r="P426" s="240">
        <v>0</v>
      </c>
      <c r="Q426" s="240"/>
      <c r="R426" s="240"/>
      <c r="S426" s="240"/>
      <c r="T426" s="144">
        <f t="shared" si="258"/>
        <v>0</v>
      </c>
      <c r="U426" s="243">
        <f>I426+M426+Q426</f>
        <v>0</v>
      </c>
      <c r="V426" s="144">
        <f t="shared" si="258"/>
        <v>0</v>
      </c>
      <c r="W426" s="144">
        <f t="shared" si="258"/>
        <v>0</v>
      </c>
      <c r="X426" s="134"/>
      <c r="Y426" s="134"/>
      <c r="Z426" s="393"/>
    </row>
    <row r="427" spans="1:27">
      <c r="A427" s="316"/>
      <c r="B427" s="22" t="s">
        <v>36</v>
      </c>
      <c r="C427" s="401"/>
      <c r="D427" s="392"/>
      <c r="E427" s="392"/>
      <c r="F427" s="392"/>
      <c r="G427" s="144">
        <v>0</v>
      </c>
      <c r="H427" s="134"/>
      <c r="I427" s="134"/>
      <c r="J427" s="134"/>
      <c r="K427" s="134"/>
      <c r="L427" s="144">
        <v>0</v>
      </c>
      <c r="M427" s="134"/>
      <c r="N427" s="134"/>
      <c r="O427" s="134"/>
      <c r="P427" s="240">
        <v>0</v>
      </c>
      <c r="Q427" s="240"/>
      <c r="R427" s="240"/>
      <c r="S427" s="240"/>
      <c r="T427" s="144">
        <f t="shared" si="258"/>
        <v>0</v>
      </c>
      <c r="U427" s="243">
        <f>I427+M427+Q427</f>
        <v>0</v>
      </c>
      <c r="V427" s="144">
        <f t="shared" si="258"/>
        <v>0</v>
      </c>
      <c r="W427" s="144">
        <f t="shared" si="258"/>
        <v>0</v>
      </c>
      <c r="X427" s="134"/>
      <c r="Y427" s="134"/>
      <c r="Z427" s="392"/>
    </row>
    <row r="428" spans="1:27" ht="25.5">
      <c r="A428" s="315" t="s">
        <v>100</v>
      </c>
      <c r="B428" s="18" t="s">
        <v>21</v>
      </c>
      <c r="C428" s="378" t="s">
        <v>55</v>
      </c>
      <c r="D428" s="327" t="s">
        <v>1</v>
      </c>
      <c r="E428" s="300">
        <v>7.8</v>
      </c>
      <c r="F428" s="300" t="s">
        <v>17</v>
      </c>
      <c r="G428" s="24">
        <f>G429+G434+G436+G440+G441</f>
        <v>379385.5</v>
      </c>
      <c r="H428" s="24">
        <f>H429+H434+H436+H440+H441</f>
        <v>0</v>
      </c>
      <c r="I428" s="24">
        <f>I429+I434+I436+I440+I441</f>
        <v>0</v>
      </c>
      <c r="J428" s="134">
        <f>J429+J434+J436</f>
        <v>380.66399999999999</v>
      </c>
      <c r="K428" s="134">
        <f>K429+K434+K436</f>
        <v>380.66399999999999</v>
      </c>
      <c r="L428" s="134">
        <f t="shared" ref="L428" si="260">L429+L434+L436</f>
        <v>252923.6</v>
      </c>
      <c r="M428" s="134">
        <f>M429+M434+M436</f>
        <v>1261.9349999999999</v>
      </c>
      <c r="N428" s="211">
        <f t="shared" ref="N428:P428" si="261">N429+N434+N436</f>
        <v>881.27199999999993</v>
      </c>
      <c r="O428" s="211">
        <f t="shared" si="261"/>
        <v>881.27199999999993</v>
      </c>
      <c r="P428" s="240">
        <f t="shared" si="261"/>
        <v>0</v>
      </c>
      <c r="Q428" s="240">
        <f>Q429+Q434+Q436</f>
        <v>0</v>
      </c>
      <c r="R428" s="240">
        <f t="shared" ref="R428:S428" si="262">R429+R434+R436</f>
        <v>0</v>
      </c>
      <c r="S428" s="240">
        <f t="shared" si="262"/>
        <v>0</v>
      </c>
      <c r="T428" s="24">
        <f>H428+L428+P428</f>
        <v>252923.6</v>
      </c>
      <c r="U428" s="24">
        <f>I428+M428+Q428</f>
        <v>1261.9349999999999</v>
      </c>
      <c r="V428" s="24">
        <f t="shared" ref="V428:W429" si="263">J428+N428+R428</f>
        <v>1261.9359999999999</v>
      </c>
      <c r="W428" s="24">
        <f t="shared" si="263"/>
        <v>1261.9359999999999</v>
      </c>
      <c r="X428" s="175"/>
      <c r="Y428" s="175"/>
      <c r="Z428" s="304"/>
    </row>
    <row r="429" spans="1:27">
      <c r="A429" s="316"/>
      <c r="B429" s="21" t="s">
        <v>123</v>
      </c>
      <c r="C429" s="379"/>
      <c r="D429" s="328"/>
      <c r="E429" s="393"/>
      <c r="F429" s="393"/>
      <c r="G429" s="285">
        <v>379385.5</v>
      </c>
      <c r="H429" s="285"/>
      <c r="I429" s="285"/>
      <c r="J429" s="285">
        <f>SUM(J431)</f>
        <v>380.66399999999999</v>
      </c>
      <c r="K429" s="285">
        <f>SUM(K431)</f>
        <v>380.66399999999999</v>
      </c>
      <c r="L429" s="285">
        <v>252923.6</v>
      </c>
      <c r="M429" s="285">
        <f>SUM(M432:M433)</f>
        <v>1261.9349999999999</v>
      </c>
      <c r="N429" s="285">
        <f>SUM(N431:N433)</f>
        <v>881.27199999999993</v>
      </c>
      <c r="O429" s="285">
        <f>SUM(O431:O433)</f>
        <v>881.27199999999993</v>
      </c>
      <c r="P429" s="285">
        <v>0</v>
      </c>
      <c r="Q429" s="285">
        <f>SUM(Q432:Q433)</f>
        <v>0</v>
      </c>
      <c r="R429" s="285">
        <f>SUM(R431:R433)</f>
        <v>0</v>
      </c>
      <c r="S429" s="285">
        <f>SUM(S431:S433)</f>
        <v>0</v>
      </c>
      <c r="T429" s="285">
        <f>H429+L429+P429</f>
        <v>252923.6</v>
      </c>
      <c r="U429" s="285">
        <f>I429+M429+Q429</f>
        <v>1261.9349999999999</v>
      </c>
      <c r="V429" s="285">
        <f t="shared" si="263"/>
        <v>1261.9359999999999</v>
      </c>
      <c r="W429" s="285">
        <f t="shared" si="263"/>
        <v>1261.9359999999999</v>
      </c>
      <c r="X429" s="285">
        <f>126461.8*2</f>
        <v>252923.6</v>
      </c>
      <c r="Y429" s="285">
        <v>126461.9</v>
      </c>
      <c r="Z429" s="305"/>
    </row>
    <row r="430" spans="1:27">
      <c r="A430" s="316"/>
      <c r="B430" s="38" t="s">
        <v>25</v>
      </c>
      <c r="C430" s="379"/>
      <c r="D430" s="328"/>
      <c r="E430" s="393"/>
      <c r="F430" s="393"/>
      <c r="G430" s="392"/>
      <c r="H430" s="287"/>
      <c r="I430" s="287"/>
      <c r="J430" s="287"/>
      <c r="K430" s="287"/>
      <c r="L430" s="287"/>
      <c r="M430" s="287"/>
      <c r="N430" s="287"/>
      <c r="O430" s="287"/>
      <c r="P430" s="287"/>
      <c r="Q430" s="287"/>
      <c r="R430" s="287"/>
      <c r="S430" s="287"/>
      <c r="T430" s="287">
        <f t="shared" ref="T430:U430" si="264">H430+L430</f>
        <v>0</v>
      </c>
      <c r="U430" s="287">
        <f t="shared" si="264"/>
        <v>0</v>
      </c>
      <c r="V430" s="287">
        <f t="shared" ref="V430" si="265">J430+N430</f>
        <v>0</v>
      </c>
      <c r="W430" s="287">
        <f t="shared" ref="W430" si="266">K430+O430</f>
        <v>0</v>
      </c>
      <c r="X430" s="287"/>
      <c r="Y430" s="287"/>
      <c r="Z430" s="305"/>
    </row>
    <row r="431" spans="1:27" ht="12.75" hidden="1" customHeight="1">
      <c r="A431" s="316"/>
      <c r="B431" s="109"/>
      <c r="C431" s="379"/>
      <c r="D431" s="328"/>
      <c r="E431" s="393"/>
      <c r="F431" s="393"/>
      <c r="G431" s="99"/>
      <c r="H431" s="130"/>
      <c r="I431" s="130"/>
      <c r="J431" s="111">
        <v>380.66399999999999</v>
      </c>
      <c r="K431" s="111">
        <v>380.66399999999999</v>
      </c>
      <c r="L431" s="111"/>
      <c r="M431" s="111"/>
      <c r="N431" s="111"/>
      <c r="O431" s="111"/>
      <c r="P431" s="111"/>
      <c r="Q431" s="111"/>
      <c r="R431" s="111"/>
      <c r="S431" s="111"/>
      <c r="T431" s="144">
        <f>H431+L431</f>
        <v>0</v>
      </c>
      <c r="U431" s="112">
        <f>I431+M431+Q431</f>
        <v>0</v>
      </c>
      <c r="V431" s="144">
        <f>J431+N431</f>
        <v>380.66399999999999</v>
      </c>
      <c r="W431" s="144">
        <f>K431+O431</f>
        <v>380.66399999999999</v>
      </c>
      <c r="X431" s="130"/>
      <c r="Y431" s="130"/>
      <c r="Z431" s="305"/>
      <c r="AA431" s="163"/>
    </row>
    <row r="432" spans="1:27" s="178" customFormat="1" ht="12.75" hidden="1" customHeight="1">
      <c r="A432" s="316"/>
      <c r="B432" s="109" t="s">
        <v>205</v>
      </c>
      <c r="C432" s="379"/>
      <c r="D432" s="328"/>
      <c r="E432" s="393"/>
      <c r="F432" s="393"/>
      <c r="G432" s="177"/>
      <c r="H432" s="110"/>
      <c r="I432" s="110"/>
      <c r="J432" s="111"/>
      <c r="K432" s="111"/>
      <c r="L432" s="111"/>
      <c r="M432" s="111">
        <v>244.435</v>
      </c>
      <c r="N432" s="111">
        <f>73.331+171.105</f>
        <v>244.43599999999998</v>
      </c>
      <c r="O432" s="111">
        <f>73.331+171.105</f>
        <v>244.43599999999998</v>
      </c>
      <c r="P432" s="111"/>
      <c r="Q432" s="111"/>
      <c r="R432" s="111"/>
      <c r="S432" s="111"/>
      <c r="T432" s="209"/>
      <c r="U432" s="112">
        <f t="shared" ref="U432:U433" si="267">I432+M432+Q432</f>
        <v>244.435</v>
      </c>
      <c r="V432" s="209"/>
      <c r="W432" s="209"/>
      <c r="X432" s="110"/>
      <c r="Y432" s="110"/>
      <c r="Z432" s="305"/>
    </row>
    <row r="433" spans="1:26" s="163" customFormat="1" ht="12.75" hidden="1" customHeight="1">
      <c r="A433" s="316"/>
      <c r="B433" s="109" t="s">
        <v>164</v>
      </c>
      <c r="C433" s="379"/>
      <c r="D433" s="328"/>
      <c r="E433" s="393"/>
      <c r="F433" s="393"/>
      <c r="G433" s="162"/>
      <c r="H433" s="112"/>
      <c r="I433" s="112"/>
      <c r="J433" s="111"/>
      <c r="K433" s="111"/>
      <c r="L433" s="111"/>
      <c r="M433" s="111">
        <v>1017.5</v>
      </c>
      <c r="N433" s="111">
        <f>5+631.836</f>
        <v>636.83600000000001</v>
      </c>
      <c r="O433" s="111">
        <f>5+631.836</f>
        <v>636.83600000000001</v>
      </c>
      <c r="P433" s="111"/>
      <c r="Q433" s="111"/>
      <c r="R433" s="111"/>
      <c r="S433" s="111"/>
      <c r="T433" s="219"/>
      <c r="U433" s="112">
        <f t="shared" si="267"/>
        <v>1017.5</v>
      </c>
      <c r="V433" s="219"/>
      <c r="W433" s="219"/>
      <c r="X433" s="112"/>
      <c r="Y433" s="112"/>
      <c r="Z433" s="305"/>
    </row>
    <row r="434" spans="1:26">
      <c r="A434" s="316"/>
      <c r="B434" s="22" t="s">
        <v>27</v>
      </c>
      <c r="C434" s="379"/>
      <c r="D434" s="328"/>
      <c r="E434" s="393"/>
      <c r="F434" s="393"/>
      <c r="G434" s="144">
        <v>0</v>
      </c>
      <c r="H434" s="130"/>
      <c r="I434" s="130"/>
      <c r="J434" s="130"/>
      <c r="K434" s="130"/>
      <c r="L434" s="144">
        <v>0</v>
      </c>
      <c r="M434" s="130"/>
      <c r="N434" s="130"/>
      <c r="O434" s="130"/>
      <c r="P434" s="240">
        <v>0</v>
      </c>
      <c r="Q434" s="233"/>
      <c r="R434" s="233"/>
      <c r="S434" s="233"/>
      <c r="T434" s="144">
        <f t="shared" ref="T434:W441" si="268">H434+L434</f>
        <v>0</v>
      </c>
      <c r="U434" s="243">
        <f>I434+M434+Q434</f>
        <v>0</v>
      </c>
      <c r="V434" s="144">
        <f t="shared" si="268"/>
        <v>0</v>
      </c>
      <c r="W434" s="144">
        <f t="shared" si="268"/>
        <v>0</v>
      </c>
      <c r="X434" s="130"/>
      <c r="Y434" s="130"/>
      <c r="Z434" s="305"/>
    </row>
    <row r="435" spans="1:26">
      <c r="A435" s="316"/>
      <c r="B435" s="42" t="s">
        <v>37</v>
      </c>
      <c r="C435" s="379"/>
      <c r="D435" s="328"/>
      <c r="E435" s="393"/>
      <c r="F435" s="393"/>
      <c r="G435" s="145">
        <v>0</v>
      </c>
      <c r="H435" s="130"/>
      <c r="I435" s="130"/>
      <c r="J435" s="130"/>
      <c r="K435" s="130"/>
      <c r="L435" s="145">
        <v>0</v>
      </c>
      <c r="M435" s="130"/>
      <c r="N435" s="130"/>
      <c r="O435" s="130"/>
      <c r="P435" s="239">
        <v>0</v>
      </c>
      <c r="Q435" s="233"/>
      <c r="R435" s="233"/>
      <c r="S435" s="233"/>
      <c r="T435" s="145">
        <f t="shared" si="268"/>
        <v>0</v>
      </c>
      <c r="U435" s="244">
        <f>I435+M435+Q435</f>
        <v>0</v>
      </c>
      <c r="V435" s="145">
        <f t="shared" si="268"/>
        <v>0</v>
      </c>
      <c r="W435" s="145">
        <f t="shared" si="268"/>
        <v>0</v>
      </c>
      <c r="X435" s="130"/>
      <c r="Y435" s="130"/>
      <c r="Z435" s="305"/>
    </row>
    <row r="436" spans="1:26">
      <c r="A436" s="316"/>
      <c r="B436" s="22" t="s">
        <v>28</v>
      </c>
      <c r="C436" s="379"/>
      <c r="D436" s="328"/>
      <c r="E436" s="393"/>
      <c r="F436" s="393"/>
      <c r="G436" s="144">
        <v>0</v>
      </c>
      <c r="H436" s="130"/>
      <c r="I436" s="130"/>
      <c r="J436" s="130"/>
      <c r="K436" s="130"/>
      <c r="L436" s="144">
        <v>0</v>
      </c>
      <c r="M436" s="130"/>
      <c r="N436" s="130"/>
      <c r="O436" s="130"/>
      <c r="P436" s="240">
        <v>0</v>
      </c>
      <c r="Q436" s="233"/>
      <c r="R436" s="233"/>
      <c r="S436" s="233"/>
      <c r="T436" s="144">
        <f t="shared" si="268"/>
        <v>0</v>
      </c>
      <c r="U436" s="243">
        <f>I436+M436+Q436</f>
        <v>0</v>
      </c>
      <c r="V436" s="144">
        <f t="shared" si="268"/>
        <v>0</v>
      </c>
      <c r="W436" s="144">
        <f t="shared" si="268"/>
        <v>0</v>
      </c>
      <c r="X436" s="130"/>
      <c r="Y436" s="130"/>
      <c r="Z436" s="305"/>
    </row>
    <row r="437" spans="1:26">
      <c r="A437" s="316"/>
      <c r="B437" s="42" t="s">
        <v>39</v>
      </c>
      <c r="C437" s="400"/>
      <c r="D437" s="393"/>
      <c r="E437" s="393"/>
      <c r="F437" s="393"/>
      <c r="G437" s="145">
        <v>0</v>
      </c>
      <c r="H437" s="134"/>
      <c r="I437" s="134"/>
      <c r="J437" s="134"/>
      <c r="K437" s="134"/>
      <c r="L437" s="145">
        <v>0</v>
      </c>
      <c r="M437" s="134"/>
      <c r="N437" s="134"/>
      <c r="O437" s="134"/>
      <c r="P437" s="239">
        <v>0</v>
      </c>
      <c r="Q437" s="240"/>
      <c r="R437" s="240"/>
      <c r="S437" s="240"/>
      <c r="T437" s="145">
        <f t="shared" si="268"/>
        <v>0</v>
      </c>
      <c r="U437" s="244">
        <f>I437+M437+Q437</f>
        <v>0</v>
      </c>
      <c r="V437" s="145">
        <f t="shared" si="268"/>
        <v>0</v>
      </c>
      <c r="W437" s="145">
        <f t="shared" si="268"/>
        <v>0</v>
      </c>
      <c r="X437" s="134"/>
      <c r="Y437" s="134"/>
      <c r="Z437" s="305"/>
    </row>
    <row r="438" spans="1:26">
      <c r="A438" s="316"/>
      <c r="B438" s="39" t="s">
        <v>30</v>
      </c>
      <c r="C438" s="400"/>
      <c r="D438" s="393"/>
      <c r="E438" s="393"/>
      <c r="F438" s="393"/>
      <c r="G438" s="145">
        <v>0</v>
      </c>
      <c r="H438" s="134"/>
      <c r="I438" s="134"/>
      <c r="J438" s="134"/>
      <c r="K438" s="134"/>
      <c r="L438" s="145">
        <v>0</v>
      </c>
      <c r="M438" s="134"/>
      <c r="N438" s="134"/>
      <c r="O438" s="134"/>
      <c r="P438" s="239">
        <v>0</v>
      </c>
      <c r="Q438" s="240"/>
      <c r="R438" s="240"/>
      <c r="S438" s="240"/>
      <c r="T438" s="145">
        <f t="shared" si="268"/>
        <v>0</v>
      </c>
      <c r="U438" s="244">
        <f t="shared" ref="U438:U439" si="269">I438+M438+Q438</f>
        <v>0</v>
      </c>
      <c r="V438" s="145">
        <f t="shared" si="268"/>
        <v>0</v>
      </c>
      <c r="W438" s="145">
        <f t="shared" si="268"/>
        <v>0</v>
      </c>
      <c r="X438" s="134"/>
      <c r="Y438" s="134"/>
      <c r="Z438" s="305"/>
    </row>
    <row r="439" spans="1:26">
      <c r="A439" s="316"/>
      <c r="B439" s="39" t="s">
        <v>31</v>
      </c>
      <c r="C439" s="400"/>
      <c r="D439" s="393"/>
      <c r="E439" s="393"/>
      <c r="F439" s="393"/>
      <c r="G439" s="145">
        <v>0</v>
      </c>
      <c r="H439" s="134"/>
      <c r="I439" s="134"/>
      <c r="J439" s="134"/>
      <c r="K439" s="134"/>
      <c r="L439" s="145">
        <v>0</v>
      </c>
      <c r="M439" s="134"/>
      <c r="N439" s="134"/>
      <c r="O439" s="134"/>
      <c r="P439" s="239">
        <v>0</v>
      </c>
      <c r="Q439" s="240"/>
      <c r="R439" s="240"/>
      <c r="S439" s="240"/>
      <c r="T439" s="145">
        <f t="shared" si="268"/>
        <v>0</v>
      </c>
      <c r="U439" s="244">
        <f t="shared" si="269"/>
        <v>0</v>
      </c>
      <c r="V439" s="145">
        <f t="shared" si="268"/>
        <v>0</v>
      </c>
      <c r="W439" s="145">
        <f t="shared" si="268"/>
        <v>0</v>
      </c>
      <c r="X439" s="134"/>
      <c r="Y439" s="134"/>
      <c r="Z439" s="305"/>
    </row>
    <row r="440" spans="1:26">
      <c r="A440" s="316"/>
      <c r="B440" s="22" t="s">
        <v>35</v>
      </c>
      <c r="C440" s="400"/>
      <c r="D440" s="393"/>
      <c r="E440" s="393"/>
      <c r="F440" s="393"/>
      <c r="G440" s="144">
        <v>0</v>
      </c>
      <c r="H440" s="134"/>
      <c r="I440" s="134"/>
      <c r="J440" s="134"/>
      <c r="K440" s="134"/>
      <c r="L440" s="144">
        <v>0</v>
      </c>
      <c r="M440" s="144"/>
      <c r="N440" s="144"/>
      <c r="O440" s="144"/>
      <c r="P440" s="240">
        <v>0</v>
      </c>
      <c r="Q440" s="240"/>
      <c r="R440" s="240"/>
      <c r="S440" s="240"/>
      <c r="T440" s="144">
        <f t="shared" si="268"/>
        <v>0</v>
      </c>
      <c r="U440" s="243">
        <f>I440+M440+Q440</f>
        <v>0</v>
      </c>
      <c r="V440" s="144">
        <f t="shared" si="268"/>
        <v>0</v>
      </c>
      <c r="W440" s="144">
        <f t="shared" si="268"/>
        <v>0</v>
      </c>
      <c r="X440" s="144"/>
      <c r="Y440" s="144"/>
      <c r="Z440" s="305"/>
    </row>
    <row r="441" spans="1:26">
      <c r="A441" s="317"/>
      <c r="B441" s="22" t="s">
        <v>36</v>
      </c>
      <c r="C441" s="401"/>
      <c r="D441" s="392"/>
      <c r="E441" s="392"/>
      <c r="F441" s="392"/>
      <c r="G441" s="144">
        <v>0</v>
      </c>
      <c r="H441" s="134"/>
      <c r="I441" s="134"/>
      <c r="J441" s="134"/>
      <c r="K441" s="134"/>
      <c r="L441" s="144">
        <v>0</v>
      </c>
      <c r="M441" s="144"/>
      <c r="N441" s="144"/>
      <c r="O441" s="144"/>
      <c r="P441" s="240">
        <v>0</v>
      </c>
      <c r="Q441" s="240"/>
      <c r="R441" s="240"/>
      <c r="S441" s="240"/>
      <c r="T441" s="144">
        <f t="shared" si="268"/>
        <v>0</v>
      </c>
      <c r="U441" s="243">
        <f>I441+M441+Q441</f>
        <v>0</v>
      </c>
      <c r="V441" s="144">
        <f t="shared" si="268"/>
        <v>0</v>
      </c>
      <c r="W441" s="144">
        <f t="shared" si="268"/>
        <v>0</v>
      </c>
      <c r="X441" s="144"/>
      <c r="Y441" s="144"/>
      <c r="Z441" s="306"/>
    </row>
    <row r="442" spans="1:26" ht="25.5">
      <c r="A442" s="315" t="s">
        <v>190</v>
      </c>
      <c r="B442" s="15" t="s">
        <v>102</v>
      </c>
      <c r="C442" s="167"/>
      <c r="D442" s="168"/>
      <c r="E442" s="169"/>
      <c r="F442" s="169"/>
      <c r="G442" s="24">
        <f>G443</f>
        <v>855.3</v>
      </c>
      <c r="H442" s="24">
        <f>H443</f>
        <v>296.5</v>
      </c>
      <c r="I442" s="24">
        <f t="shared" ref="I442:M442" si="270">I443</f>
        <v>0</v>
      </c>
      <c r="J442" s="24">
        <f t="shared" si="270"/>
        <v>247.1</v>
      </c>
      <c r="K442" s="24">
        <f t="shared" si="270"/>
        <v>247.1</v>
      </c>
      <c r="L442" s="24">
        <f t="shared" si="270"/>
        <v>558.79999999999995</v>
      </c>
      <c r="M442" s="24">
        <f t="shared" si="270"/>
        <v>0</v>
      </c>
      <c r="N442" s="24">
        <v>0</v>
      </c>
      <c r="O442" s="24">
        <v>0</v>
      </c>
      <c r="P442" s="24">
        <f>P443</f>
        <v>0</v>
      </c>
      <c r="Q442" s="24">
        <f t="shared" ref="Q442" si="271">Q443</f>
        <v>0</v>
      </c>
      <c r="R442" s="24">
        <v>0</v>
      </c>
      <c r="S442" s="24">
        <v>0</v>
      </c>
      <c r="T442" s="24">
        <f>T443</f>
        <v>855.3</v>
      </c>
      <c r="U442" s="24">
        <f>I442+M442+Q442</f>
        <v>0</v>
      </c>
      <c r="V442" s="24">
        <f t="shared" ref="V442:W443" si="272">J442+N442+R442</f>
        <v>247.1</v>
      </c>
      <c r="W442" s="24">
        <f t="shared" si="272"/>
        <v>247.1</v>
      </c>
      <c r="X442" s="24"/>
      <c r="Y442" s="24"/>
      <c r="Z442" s="129"/>
    </row>
    <row r="443" spans="1:26">
      <c r="A443" s="393"/>
      <c r="B443" s="21" t="s">
        <v>123</v>
      </c>
      <c r="C443" s="167"/>
      <c r="D443" s="168"/>
      <c r="E443" s="169"/>
      <c r="F443" s="169"/>
      <c r="G443" s="285">
        <v>855.3</v>
      </c>
      <c r="H443" s="288">
        <v>296.5</v>
      </c>
      <c r="I443" s="288"/>
      <c r="J443" s="288">
        <v>247.1</v>
      </c>
      <c r="K443" s="288">
        <v>247.1</v>
      </c>
      <c r="L443" s="288">
        <v>558.79999999999995</v>
      </c>
      <c r="M443" s="288"/>
      <c r="N443" s="131"/>
      <c r="O443" s="131"/>
      <c r="P443" s="288">
        <v>0</v>
      </c>
      <c r="Q443" s="288">
        <v>0</v>
      </c>
      <c r="R443" s="288">
        <v>0</v>
      </c>
      <c r="S443" s="288">
        <v>0</v>
      </c>
      <c r="T443" s="288">
        <v>855.3</v>
      </c>
      <c r="U443" s="285">
        <f>I443+M443+Q443</f>
        <v>0</v>
      </c>
      <c r="V443" s="285">
        <f t="shared" si="272"/>
        <v>247.1</v>
      </c>
      <c r="W443" s="285">
        <f t="shared" si="272"/>
        <v>247.1</v>
      </c>
      <c r="X443" s="285">
        <v>558.79999999999995</v>
      </c>
      <c r="Y443" s="285"/>
      <c r="Z443" s="129"/>
    </row>
    <row r="444" spans="1:26">
      <c r="A444" s="392"/>
      <c r="B444" s="38" t="s">
        <v>25</v>
      </c>
      <c r="C444" s="167"/>
      <c r="D444" s="168"/>
      <c r="E444" s="169"/>
      <c r="F444" s="169"/>
      <c r="G444" s="392"/>
      <c r="H444" s="380"/>
      <c r="I444" s="380"/>
      <c r="J444" s="380"/>
      <c r="K444" s="380"/>
      <c r="L444" s="380"/>
      <c r="M444" s="380"/>
      <c r="N444" s="132"/>
      <c r="O444" s="132"/>
      <c r="P444" s="380"/>
      <c r="Q444" s="380"/>
      <c r="R444" s="380"/>
      <c r="S444" s="380"/>
      <c r="T444" s="380"/>
      <c r="U444" s="287">
        <f t="shared" ref="U444" si="273">I444+M444</f>
        <v>0</v>
      </c>
      <c r="V444" s="287">
        <f t="shared" ref="V444" si="274">J444+N444</f>
        <v>0</v>
      </c>
      <c r="W444" s="287">
        <f t="shared" ref="W444" si="275">K444+O444</f>
        <v>0</v>
      </c>
      <c r="X444" s="287"/>
      <c r="Y444" s="287"/>
      <c r="Z444" s="129"/>
    </row>
    <row r="445" spans="1:26" ht="15">
      <c r="A445" s="373"/>
      <c r="B445" s="16" t="s">
        <v>14</v>
      </c>
      <c r="C445" s="332"/>
      <c r="D445" s="354" t="e">
        <f>G384+#REF!+#REF!+G347+G330+G319+G307+G296+G283+G272+#REF!+G261+G247+#REF!+#REF!+#REF!+#REF!+G234+#REF!+G223+G201+G190+#REF!+#REF!+#REF!+G156+G406+G395+G372+G358+G417+G428</f>
        <v>#REF!</v>
      </c>
      <c r="E445" s="320">
        <f>G385+G348+G331+G320+G308+G297+G284+G273+G262+G248+G235+G224+G202+G191+G157+G407+G396+G373+G359+G418+G429+G443</f>
        <v>1904893.2</v>
      </c>
      <c r="F445" s="336"/>
      <c r="G445" s="24">
        <f>G446+G448+G450+G454+G457</f>
        <v>3423220.9</v>
      </c>
      <c r="H445" s="24">
        <f>H446+H448+H450+H454+H457</f>
        <v>1521863.1</v>
      </c>
      <c r="I445" s="24">
        <f t="shared" ref="I445:O445" si="276">I446+I448+I450+I454+I457</f>
        <v>398181.8789999999</v>
      </c>
      <c r="J445" s="24">
        <f t="shared" si="276"/>
        <v>448054.658</v>
      </c>
      <c r="K445" s="24">
        <f t="shared" si="276"/>
        <v>448054.658</v>
      </c>
      <c r="L445" s="24">
        <f t="shared" si="276"/>
        <v>894352.29999999993</v>
      </c>
      <c r="M445" s="24">
        <f>M446+M448+M450+M454+M457</f>
        <v>193172.13799999998</v>
      </c>
      <c r="N445" s="24">
        <f t="shared" si="276"/>
        <v>153495.64899999998</v>
      </c>
      <c r="O445" s="24">
        <f t="shared" si="276"/>
        <v>153495.65</v>
      </c>
      <c r="P445" s="24">
        <f t="shared" ref="P445" si="277">P446+P448+P450+P454+P457</f>
        <v>0</v>
      </c>
      <c r="Q445" s="24">
        <f>Q446+Q448+Q450+Q454+Q457</f>
        <v>24491.044000000002</v>
      </c>
      <c r="R445" s="24">
        <f t="shared" ref="R445:S445" si="278">R446+R448+R450+R454+R457</f>
        <v>432.05500000000001</v>
      </c>
      <c r="S445" s="24">
        <f t="shared" si="278"/>
        <v>432.05500000000001</v>
      </c>
      <c r="T445" s="24">
        <f>T446+T448+T450+T454+T457</f>
        <v>2416215.4</v>
      </c>
      <c r="U445" s="24">
        <f t="shared" ref="U445" si="279">U446+U448+U450+U454+U457</f>
        <v>613491.06099999999</v>
      </c>
      <c r="V445" s="24">
        <f t="shared" ref="V445:W445" si="280">V446+V448+V450+V454+V457</f>
        <v>601982.36199999996</v>
      </c>
      <c r="W445" s="24">
        <f t="shared" si="280"/>
        <v>601982.3629999999</v>
      </c>
      <c r="X445" s="24">
        <f>X446+X448+X450+X454+X457</f>
        <v>952892.75699999998</v>
      </c>
      <c r="Y445" s="24">
        <f>Y446+Y448+Y450+Y454+Y457</f>
        <v>1449748.3539999998</v>
      </c>
      <c r="Z445" s="415">
        <f>SUM(H450:Y450)</f>
        <v>5679774.7530000005</v>
      </c>
    </row>
    <row r="446" spans="1:26">
      <c r="A446" s="404"/>
      <c r="B446" s="21" t="s">
        <v>123</v>
      </c>
      <c r="C446" s="406"/>
      <c r="D446" s="394"/>
      <c r="E446" s="321"/>
      <c r="F446" s="402"/>
      <c r="G446" s="285">
        <v>1904893.2</v>
      </c>
      <c r="H446" s="385">
        <f t="shared" ref="H446:Y446" si="281">H191+H213+H224+H235+H248+H262+H273+H284+H297+H308+H320+H157+H348+H331+H202+H385+H359+H373+H396+H407+H418+H429+H443</f>
        <v>5889.4</v>
      </c>
      <c r="I446" s="385">
        <f t="shared" si="281"/>
        <v>6737.8640000000014</v>
      </c>
      <c r="J446" s="385">
        <f t="shared" si="281"/>
        <v>8545.0500000000011</v>
      </c>
      <c r="K446" s="385">
        <f t="shared" si="281"/>
        <v>8545.0500000000011</v>
      </c>
      <c r="L446" s="385">
        <f t="shared" si="281"/>
        <v>894352.29999999993</v>
      </c>
      <c r="M446" s="385">
        <f t="shared" si="281"/>
        <v>8281.6369999999988</v>
      </c>
      <c r="N446" s="385">
        <f t="shared" si="281"/>
        <v>6822.5059999999994</v>
      </c>
      <c r="O446" s="385">
        <f t="shared" si="281"/>
        <v>6822.5069999999996</v>
      </c>
      <c r="P446" s="385">
        <f t="shared" si="281"/>
        <v>0</v>
      </c>
      <c r="Q446" s="385">
        <f t="shared" si="281"/>
        <v>432.05500000000001</v>
      </c>
      <c r="R446" s="385">
        <f t="shared" si="281"/>
        <v>432.05500000000001</v>
      </c>
      <c r="S446" s="385">
        <f t="shared" si="281"/>
        <v>432.05500000000001</v>
      </c>
      <c r="T446" s="385">
        <f t="shared" si="281"/>
        <v>900241.70000000007</v>
      </c>
      <c r="U446" s="385">
        <f t="shared" si="281"/>
        <v>15451.556</v>
      </c>
      <c r="V446" s="385">
        <f t="shared" si="281"/>
        <v>15799.611000000001</v>
      </c>
      <c r="W446" s="385">
        <f t="shared" si="281"/>
        <v>15799.612000000001</v>
      </c>
      <c r="X446" s="385">
        <f t="shared" si="281"/>
        <v>875175.04799999995</v>
      </c>
      <c r="Y446" s="385">
        <f t="shared" si="281"/>
        <v>1010238.7459999999</v>
      </c>
      <c r="Z446" s="416"/>
    </row>
    <row r="447" spans="1:26">
      <c r="A447" s="404"/>
      <c r="B447" s="38" t="s">
        <v>25</v>
      </c>
      <c r="C447" s="406"/>
      <c r="D447" s="394"/>
      <c r="E447" s="321"/>
      <c r="F447" s="402"/>
      <c r="G447" s="392"/>
      <c r="H447" s="385"/>
      <c r="I447" s="385"/>
      <c r="J447" s="385"/>
      <c r="K447" s="385"/>
      <c r="L447" s="385"/>
      <c r="M447" s="385"/>
      <c r="N447" s="385"/>
      <c r="O447" s="385"/>
      <c r="P447" s="385"/>
      <c r="Q447" s="385"/>
      <c r="R447" s="385"/>
      <c r="S447" s="385"/>
      <c r="T447" s="385"/>
      <c r="U447" s="385"/>
      <c r="V447" s="385"/>
      <c r="W447" s="385"/>
      <c r="X447" s="385"/>
      <c r="Y447" s="385"/>
      <c r="Z447" s="416"/>
    </row>
    <row r="448" spans="1:26">
      <c r="A448" s="404"/>
      <c r="B448" s="22" t="s">
        <v>27</v>
      </c>
      <c r="C448" s="406"/>
      <c r="D448" s="394"/>
      <c r="E448" s="321"/>
      <c r="F448" s="402"/>
      <c r="G448" s="134">
        <f>SUM(G449)</f>
        <v>0</v>
      </c>
      <c r="H448" s="134">
        <f>SUM(H449)</f>
        <v>0</v>
      </c>
      <c r="I448" s="134">
        <f t="shared" ref="I448:W448" si="282">SUM(I449)</f>
        <v>0</v>
      </c>
      <c r="J448" s="134">
        <f t="shared" si="282"/>
        <v>0</v>
      </c>
      <c r="K448" s="134">
        <f t="shared" si="282"/>
        <v>0</v>
      </c>
      <c r="L448" s="134">
        <f t="shared" si="282"/>
        <v>0</v>
      </c>
      <c r="M448" s="134">
        <f t="shared" si="282"/>
        <v>0</v>
      </c>
      <c r="N448" s="134">
        <f t="shared" si="282"/>
        <v>0</v>
      </c>
      <c r="O448" s="134">
        <f t="shared" si="282"/>
        <v>0</v>
      </c>
      <c r="P448" s="240">
        <f t="shared" si="282"/>
        <v>0</v>
      </c>
      <c r="Q448" s="240">
        <f t="shared" si="282"/>
        <v>0</v>
      </c>
      <c r="R448" s="240">
        <f t="shared" si="282"/>
        <v>0</v>
      </c>
      <c r="S448" s="240">
        <f t="shared" si="282"/>
        <v>0</v>
      </c>
      <c r="T448" s="134">
        <f t="shared" si="282"/>
        <v>0</v>
      </c>
      <c r="U448" s="144">
        <f t="shared" si="282"/>
        <v>0</v>
      </c>
      <c r="V448" s="144">
        <f t="shared" si="282"/>
        <v>0</v>
      </c>
      <c r="W448" s="144">
        <f t="shared" si="282"/>
        <v>0</v>
      </c>
      <c r="X448" s="134">
        <f>SUM(X449)</f>
        <v>0</v>
      </c>
      <c r="Y448" s="134">
        <f>SUM(Y449)</f>
        <v>0</v>
      </c>
      <c r="Z448" s="416"/>
    </row>
    <row r="449" spans="1:26">
      <c r="A449" s="404"/>
      <c r="B449" s="42" t="s">
        <v>37</v>
      </c>
      <c r="C449" s="406"/>
      <c r="D449" s="394"/>
      <c r="E449" s="321"/>
      <c r="F449" s="402"/>
      <c r="G449" s="133">
        <f>SUM(H449:Y449)</f>
        <v>0</v>
      </c>
      <c r="H449" s="133"/>
      <c r="I449" s="133"/>
      <c r="J449" s="133"/>
      <c r="K449" s="133"/>
      <c r="L449" s="133"/>
      <c r="M449" s="133"/>
      <c r="N449" s="133"/>
      <c r="O449" s="133"/>
      <c r="P449" s="239"/>
      <c r="Q449" s="239"/>
      <c r="R449" s="239"/>
      <c r="S449" s="239"/>
      <c r="T449" s="133"/>
      <c r="U449" s="145"/>
      <c r="V449" s="145"/>
      <c r="W449" s="145"/>
      <c r="X449" s="133"/>
      <c r="Y449" s="133"/>
      <c r="Z449" s="416"/>
    </row>
    <row r="450" spans="1:26">
      <c r="A450" s="404"/>
      <c r="B450" s="22" t="s">
        <v>28</v>
      </c>
      <c r="C450" s="406"/>
      <c r="D450" s="394"/>
      <c r="E450" s="321"/>
      <c r="F450" s="402"/>
      <c r="G450" s="134">
        <f>SUM(G451:G453)</f>
        <v>832573.7</v>
      </c>
      <c r="H450" s="134">
        <f>SUM(H451:H453)</f>
        <v>832573.7</v>
      </c>
      <c r="I450" s="134">
        <f t="shared" ref="I450:K450" si="283">SUM(I451:I453)</f>
        <v>391444.0149999999</v>
      </c>
      <c r="J450" s="134">
        <f t="shared" si="283"/>
        <v>439509.60800000001</v>
      </c>
      <c r="K450" s="134">
        <f t="shared" si="283"/>
        <v>439509.60800000001</v>
      </c>
      <c r="L450" s="134">
        <f t="shared" ref="L450:T450" si="284">SUM(L451:L453)</f>
        <v>0</v>
      </c>
      <c r="M450" s="134">
        <f t="shared" si="284"/>
        <v>184890.50099999999</v>
      </c>
      <c r="N450" s="134">
        <f t="shared" si="284"/>
        <v>146673.14299999998</v>
      </c>
      <c r="O450" s="134">
        <f t="shared" si="284"/>
        <v>146673.14299999998</v>
      </c>
      <c r="P450" s="240">
        <f t="shared" ref="P450:S450" si="285">SUM(P451:P453)</f>
        <v>0</v>
      </c>
      <c r="Q450" s="240">
        <f t="shared" si="285"/>
        <v>0</v>
      </c>
      <c r="R450" s="240">
        <f t="shared" si="285"/>
        <v>0</v>
      </c>
      <c r="S450" s="240">
        <f t="shared" si="285"/>
        <v>0</v>
      </c>
      <c r="T450" s="134">
        <f t="shared" si="284"/>
        <v>832573.7</v>
      </c>
      <c r="U450" s="144">
        <f t="shared" ref="U450" si="286">SUM(U451:U453)</f>
        <v>576334.51599999995</v>
      </c>
      <c r="V450" s="144">
        <f t="shared" ref="V450:W450" si="287">SUM(V451:V453)</f>
        <v>586182.75099999993</v>
      </c>
      <c r="W450" s="144">
        <f t="shared" si="287"/>
        <v>586182.75099999993</v>
      </c>
      <c r="X450" s="134">
        <f>SUM(X451:X453)</f>
        <v>77717.709000000017</v>
      </c>
      <c r="Y450" s="134">
        <f>SUM(Y451:Y453)</f>
        <v>439509.60800000001</v>
      </c>
      <c r="Z450" s="416"/>
    </row>
    <row r="451" spans="1:26">
      <c r="A451" s="404"/>
      <c r="B451" s="42" t="s">
        <v>39</v>
      </c>
      <c r="C451" s="406"/>
      <c r="D451" s="394"/>
      <c r="E451" s="394"/>
      <c r="F451" s="402"/>
      <c r="G451" s="133">
        <f>SUM(H451)</f>
        <v>670084.19999999995</v>
      </c>
      <c r="H451" s="133">
        <f t="shared" ref="H451:Y451" si="288">H353+H342+H325+H314+H302+H291+H278+H267+H256+H242+H229+H196+H172</f>
        <v>670084.19999999995</v>
      </c>
      <c r="I451" s="133">
        <f t="shared" si="288"/>
        <v>288879.9709999999</v>
      </c>
      <c r="J451" s="133">
        <f t="shared" si="288"/>
        <v>327492.69</v>
      </c>
      <c r="K451" s="133">
        <f t="shared" si="288"/>
        <v>327492.69</v>
      </c>
      <c r="L451" s="133">
        <f t="shared" si="288"/>
        <v>0</v>
      </c>
      <c r="M451" s="133">
        <f t="shared" si="288"/>
        <v>159979.34299999999</v>
      </c>
      <c r="N451" s="223">
        <f t="shared" si="288"/>
        <v>128604.74</v>
      </c>
      <c r="O451" s="133">
        <f t="shared" si="288"/>
        <v>128604.74</v>
      </c>
      <c r="P451" s="239">
        <f t="shared" si="288"/>
        <v>0</v>
      </c>
      <c r="Q451" s="239">
        <f t="shared" si="288"/>
        <v>0</v>
      </c>
      <c r="R451" s="239">
        <f t="shared" si="288"/>
        <v>0</v>
      </c>
      <c r="S451" s="239">
        <f t="shared" si="288"/>
        <v>0</v>
      </c>
      <c r="T451" s="133">
        <f t="shared" si="288"/>
        <v>670084.19999999995</v>
      </c>
      <c r="U451" s="145">
        <f t="shared" si="288"/>
        <v>448859.3139999999</v>
      </c>
      <c r="V451" s="145">
        <f t="shared" si="288"/>
        <v>456097.43</v>
      </c>
      <c r="W451" s="145">
        <f t="shared" si="288"/>
        <v>456097.43</v>
      </c>
      <c r="X451" s="133">
        <f t="shared" si="288"/>
        <v>74142.412000000011</v>
      </c>
      <c r="Y451" s="133">
        <f t="shared" si="288"/>
        <v>327492.69</v>
      </c>
      <c r="Z451" s="416"/>
    </row>
    <row r="452" spans="1:26">
      <c r="A452" s="404"/>
      <c r="B452" s="39" t="s">
        <v>30</v>
      </c>
      <c r="C452" s="406"/>
      <c r="D452" s="394"/>
      <c r="E452" s="394"/>
      <c r="F452" s="402"/>
      <c r="G452" s="133">
        <f t="shared" ref="G452:G453" si="289">SUM(H452)</f>
        <v>31396.6</v>
      </c>
      <c r="H452" s="133">
        <f t="shared" ref="H452:Y452" si="290">H354+H343+H326+H315+H303+H292+H279+H268+H257+H243+H230+H197+H176</f>
        <v>31396.6</v>
      </c>
      <c r="I452" s="133">
        <f t="shared" si="290"/>
        <v>15383.669</v>
      </c>
      <c r="J452" s="133">
        <f t="shared" si="290"/>
        <v>17113.269</v>
      </c>
      <c r="K452" s="133">
        <f t="shared" si="290"/>
        <v>17113.269</v>
      </c>
      <c r="L452" s="133">
        <f t="shared" si="290"/>
        <v>0</v>
      </c>
      <c r="M452" s="133">
        <f t="shared" si="290"/>
        <v>7860.107</v>
      </c>
      <c r="N452" s="223">
        <f t="shared" si="290"/>
        <v>5361.9560000000001</v>
      </c>
      <c r="O452" s="133">
        <f t="shared" si="290"/>
        <v>5361.9560000000001</v>
      </c>
      <c r="P452" s="239">
        <f t="shared" si="290"/>
        <v>0</v>
      </c>
      <c r="Q452" s="239">
        <f t="shared" si="290"/>
        <v>0</v>
      </c>
      <c r="R452" s="239">
        <f t="shared" si="290"/>
        <v>0</v>
      </c>
      <c r="S452" s="239">
        <f t="shared" si="290"/>
        <v>0</v>
      </c>
      <c r="T452" s="133">
        <f t="shared" si="290"/>
        <v>31396.6</v>
      </c>
      <c r="U452" s="145">
        <f t="shared" si="290"/>
        <v>23243.775999999998</v>
      </c>
      <c r="V452" s="145">
        <f t="shared" si="290"/>
        <v>22475.224999999999</v>
      </c>
      <c r="W452" s="145">
        <f t="shared" si="290"/>
        <v>22475.224999999999</v>
      </c>
      <c r="X452" s="133">
        <f t="shared" si="290"/>
        <v>3575.297</v>
      </c>
      <c r="Y452" s="133">
        <f t="shared" si="290"/>
        <v>17113.269</v>
      </c>
      <c r="Z452" s="416"/>
    </row>
    <row r="453" spans="1:26">
      <c r="A453" s="404"/>
      <c r="B453" s="39" t="s">
        <v>31</v>
      </c>
      <c r="C453" s="406"/>
      <c r="D453" s="394"/>
      <c r="E453" s="394"/>
      <c r="F453" s="402"/>
      <c r="G453" s="133">
        <f t="shared" si="289"/>
        <v>131092.9</v>
      </c>
      <c r="H453" s="133">
        <f t="shared" ref="H453:Y453" si="291">H355+H344+H327+H316+H304+H293+H280+H269+H258+H244+H231+H198+H180</f>
        <v>131092.9</v>
      </c>
      <c r="I453" s="133">
        <f t="shared" si="291"/>
        <v>87180.375</v>
      </c>
      <c r="J453" s="133">
        <f t="shared" si="291"/>
        <v>94903.649000000005</v>
      </c>
      <c r="K453" s="133">
        <f t="shared" si="291"/>
        <v>94903.649000000005</v>
      </c>
      <c r="L453" s="133">
        <f t="shared" si="291"/>
        <v>0</v>
      </c>
      <c r="M453" s="133">
        <f t="shared" si="291"/>
        <v>17051.051000000003</v>
      </c>
      <c r="N453" s="223">
        <f t="shared" si="291"/>
        <v>12706.447</v>
      </c>
      <c r="O453" s="133">
        <f t="shared" si="291"/>
        <v>12706.447</v>
      </c>
      <c r="P453" s="239">
        <f t="shared" si="291"/>
        <v>0</v>
      </c>
      <c r="Q453" s="239">
        <f t="shared" si="291"/>
        <v>0</v>
      </c>
      <c r="R453" s="239">
        <f t="shared" si="291"/>
        <v>0</v>
      </c>
      <c r="S453" s="239">
        <f t="shared" si="291"/>
        <v>0</v>
      </c>
      <c r="T453" s="133">
        <f t="shared" si="291"/>
        <v>131092.9</v>
      </c>
      <c r="U453" s="145">
        <f t="shared" si="291"/>
        <v>104231.42600000001</v>
      </c>
      <c r="V453" s="145">
        <f t="shared" si="291"/>
        <v>107610.09600000001</v>
      </c>
      <c r="W453" s="145">
        <f t="shared" si="291"/>
        <v>107610.09600000001</v>
      </c>
      <c r="X453" s="133">
        <f t="shared" si="291"/>
        <v>0</v>
      </c>
      <c r="Y453" s="133">
        <f t="shared" si="291"/>
        <v>94903.649000000005</v>
      </c>
      <c r="Z453" s="416"/>
    </row>
    <row r="454" spans="1:26">
      <c r="A454" s="404"/>
      <c r="B454" s="22" t="s">
        <v>35</v>
      </c>
      <c r="C454" s="406"/>
      <c r="D454" s="394"/>
      <c r="E454" s="394"/>
      <c r="F454" s="402"/>
      <c r="G454" s="134">
        <f>SUM(H454)</f>
        <v>683400</v>
      </c>
      <c r="H454" s="134">
        <f>SUM(H455:H456)</f>
        <v>683400</v>
      </c>
      <c r="I454" s="134">
        <f t="shared" ref="I454:K454" si="292">SUM(I455:I456)</f>
        <v>0</v>
      </c>
      <c r="J454" s="134">
        <f t="shared" si="292"/>
        <v>0</v>
      </c>
      <c r="K454" s="134">
        <f t="shared" si="292"/>
        <v>0</v>
      </c>
      <c r="L454" s="134">
        <f t="shared" ref="L454:T454" si="293">SUM(L455:L456)</f>
        <v>0</v>
      </c>
      <c r="M454" s="134">
        <f t="shared" si="293"/>
        <v>0</v>
      </c>
      <c r="N454" s="134">
        <f t="shared" si="293"/>
        <v>0</v>
      </c>
      <c r="O454" s="134">
        <f t="shared" si="293"/>
        <v>0</v>
      </c>
      <c r="P454" s="240">
        <f t="shared" ref="P454:S454" si="294">SUM(P455:P456)</f>
        <v>0</v>
      </c>
      <c r="Q454" s="240">
        <f t="shared" si="294"/>
        <v>21704.989000000001</v>
      </c>
      <c r="R454" s="240">
        <f t="shared" si="294"/>
        <v>0</v>
      </c>
      <c r="S454" s="240">
        <f t="shared" si="294"/>
        <v>0</v>
      </c>
      <c r="T454" s="134">
        <f t="shared" si="293"/>
        <v>683400</v>
      </c>
      <c r="U454" s="144">
        <f t="shared" ref="U454" si="295">SUM(U455:U456)</f>
        <v>21704.989000000001</v>
      </c>
      <c r="V454" s="144">
        <f t="shared" ref="V454:W454" si="296">SUM(V455:V456)</f>
        <v>0</v>
      </c>
      <c r="W454" s="144">
        <f t="shared" si="296"/>
        <v>0</v>
      </c>
      <c r="X454" s="134">
        <f>SUM(X455:X456)</f>
        <v>0</v>
      </c>
      <c r="Y454" s="134">
        <f>SUM(Y455:Y456)</f>
        <v>0</v>
      </c>
      <c r="Z454" s="416"/>
    </row>
    <row r="455" spans="1:26">
      <c r="A455" s="404"/>
      <c r="B455" s="39" t="s">
        <v>53</v>
      </c>
      <c r="C455" s="406"/>
      <c r="D455" s="394"/>
      <c r="E455" s="394"/>
      <c r="F455" s="402"/>
      <c r="G455" s="133">
        <f>SUM(H455)</f>
        <v>357000</v>
      </c>
      <c r="H455" s="133">
        <f t="shared" ref="H455:Y456" si="297">H185</f>
        <v>357000</v>
      </c>
      <c r="I455" s="133">
        <f t="shared" ref="I455:K455" si="298">I185</f>
        <v>0</v>
      </c>
      <c r="J455" s="133">
        <f t="shared" si="298"/>
        <v>0</v>
      </c>
      <c r="K455" s="133">
        <f t="shared" si="298"/>
        <v>0</v>
      </c>
      <c r="L455" s="133">
        <f t="shared" ref="L455:T455" si="299">L185</f>
        <v>0</v>
      </c>
      <c r="M455" s="133">
        <f t="shared" si="299"/>
        <v>0</v>
      </c>
      <c r="N455" s="133">
        <f t="shared" si="299"/>
        <v>0</v>
      </c>
      <c r="O455" s="133">
        <f t="shared" si="299"/>
        <v>0</v>
      </c>
      <c r="P455" s="239">
        <f t="shared" ref="P455:S455" si="300">P185</f>
        <v>0</v>
      </c>
      <c r="Q455" s="239">
        <f t="shared" si="300"/>
        <v>0</v>
      </c>
      <c r="R455" s="239">
        <f t="shared" si="300"/>
        <v>0</v>
      </c>
      <c r="S455" s="239">
        <f t="shared" si="300"/>
        <v>0</v>
      </c>
      <c r="T455" s="133">
        <f t="shared" si="299"/>
        <v>357000</v>
      </c>
      <c r="U455" s="145">
        <f t="shared" ref="U455" si="301">U185</f>
        <v>0</v>
      </c>
      <c r="V455" s="145">
        <f t="shared" ref="V455:W455" si="302">V185</f>
        <v>0</v>
      </c>
      <c r="W455" s="145">
        <f t="shared" si="302"/>
        <v>0</v>
      </c>
      <c r="X455" s="133">
        <f t="shared" si="297"/>
        <v>0</v>
      </c>
      <c r="Y455" s="133">
        <f t="shared" si="297"/>
        <v>0</v>
      </c>
      <c r="Z455" s="416"/>
    </row>
    <row r="456" spans="1:26">
      <c r="A456" s="404"/>
      <c r="B456" s="39" t="s">
        <v>54</v>
      </c>
      <c r="C456" s="406"/>
      <c r="D456" s="394"/>
      <c r="E456" s="394"/>
      <c r="F456" s="402"/>
      <c r="G456" s="145">
        <f>SUM(H456)</f>
        <v>326400</v>
      </c>
      <c r="H456" s="133">
        <f t="shared" si="297"/>
        <v>326400</v>
      </c>
      <c r="I456" s="133">
        <f t="shared" ref="I456:K456" si="303">I186</f>
        <v>0</v>
      </c>
      <c r="J456" s="133">
        <f t="shared" si="303"/>
        <v>0</v>
      </c>
      <c r="K456" s="133">
        <f t="shared" si="303"/>
        <v>0</v>
      </c>
      <c r="L456" s="133">
        <f t="shared" ref="L456:T456" si="304">L186</f>
        <v>0</v>
      </c>
      <c r="M456" s="133">
        <f t="shared" si="304"/>
        <v>0</v>
      </c>
      <c r="N456" s="133">
        <f t="shared" si="304"/>
        <v>0</v>
      </c>
      <c r="O456" s="133">
        <f t="shared" si="304"/>
        <v>0</v>
      </c>
      <c r="P456" s="239">
        <f t="shared" ref="P456:S456" si="305">P186</f>
        <v>0</v>
      </c>
      <c r="Q456" s="239">
        <f t="shared" si="305"/>
        <v>21704.989000000001</v>
      </c>
      <c r="R456" s="239">
        <f t="shared" si="305"/>
        <v>0</v>
      </c>
      <c r="S456" s="239">
        <f t="shared" si="305"/>
        <v>0</v>
      </c>
      <c r="T456" s="133">
        <f t="shared" si="304"/>
        <v>326400</v>
      </c>
      <c r="U456" s="145">
        <f t="shared" ref="U456" si="306">U186</f>
        <v>21704.989000000001</v>
      </c>
      <c r="V456" s="145">
        <f t="shared" ref="V456:W456" si="307">V186</f>
        <v>0</v>
      </c>
      <c r="W456" s="145">
        <f t="shared" si="307"/>
        <v>0</v>
      </c>
      <c r="X456" s="133">
        <f t="shared" si="297"/>
        <v>0</v>
      </c>
      <c r="Y456" s="133">
        <f t="shared" si="297"/>
        <v>0</v>
      </c>
      <c r="Z456" s="416"/>
    </row>
    <row r="457" spans="1:26">
      <c r="A457" s="405"/>
      <c r="B457" s="22" t="s">
        <v>36</v>
      </c>
      <c r="C457" s="407"/>
      <c r="D457" s="395"/>
      <c r="E457" s="395"/>
      <c r="F457" s="403"/>
      <c r="G457" s="134">
        <f t="shared" ref="G457" si="308">SUM(H457:Y457)</f>
        <v>2354</v>
      </c>
      <c r="H457" s="134"/>
      <c r="I457" s="134"/>
      <c r="J457" s="134"/>
      <c r="K457" s="134"/>
      <c r="L457" s="134"/>
      <c r="M457" s="134"/>
      <c r="N457" s="134"/>
      <c r="O457" s="134"/>
      <c r="P457" s="240">
        <v>0</v>
      </c>
      <c r="Q457" s="240">
        <f>Q188</f>
        <v>2354</v>
      </c>
      <c r="R457" s="240">
        <v>0</v>
      </c>
      <c r="S457" s="240">
        <v>0</v>
      </c>
      <c r="T457" s="134"/>
      <c r="U457" s="144"/>
      <c r="V457" s="144"/>
      <c r="W457" s="144"/>
      <c r="X457" s="134"/>
      <c r="Y457" s="134"/>
      <c r="Z457" s="417"/>
    </row>
    <row r="458" spans="1:26">
      <c r="A458" s="4"/>
      <c r="B458" s="7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6" ht="13.5">
      <c r="A459" s="373"/>
      <c r="B459" s="14" t="s">
        <v>19</v>
      </c>
      <c r="C459" s="336"/>
      <c r="D459" s="354">
        <f>G445+G139</f>
        <v>5401236.5999999996</v>
      </c>
      <c r="E459" s="336"/>
      <c r="F459" s="339">
        <f>G446+G140</f>
        <v>3133418.7</v>
      </c>
      <c r="G459" s="24">
        <f>G460+G462+G464+G468+G472+G471</f>
        <v>5398882.5999999996</v>
      </c>
      <c r="H459" s="24">
        <f>H460+H462+H464+H468+H472+H471</f>
        <v>2185005.5</v>
      </c>
      <c r="I459" s="24">
        <f t="shared" ref="I459:K459" si="309">I460+I462+I464+I468+I472+I471</f>
        <v>819731.48099999991</v>
      </c>
      <c r="J459" s="24">
        <f t="shared" si="309"/>
        <v>745071.42799999996</v>
      </c>
      <c r="K459" s="24">
        <f t="shared" si="309"/>
        <v>777519.92399999988</v>
      </c>
      <c r="L459" s="24">
        <f t="shared" ref="L459:O459" si="310">L460+L462+L464+L468+L472+L471</f>
        <v>1883885.2999999998</v>
      </c>
      <c r="M459" s="24">
        <f t="shared" si="310"/>
        <v>291464.26799999998</v>
      </c>
      <c r="N459" s="24">
        <f t="shared" si="310"/>
        <v>653961.27899999998</v>
      </c>
      <c r="O459" s="24">
        <f t="shared" si="310"/>
        <v>300732.424</v>
      </c>
      <c r="P459" s="24">
        <f t="shared" ref="P459" si="311">P460+P462+P464+P468+P472+P471</f>
        <v>0</v>
      </c>
      <c r="Q459" s="24">
        <f>Q460+Q462+Q464+Q468+Q472+Q471</f>
        <v>27933.260000000002</v>
      </c>
      <c r="R459" s="24">
        <f>R460+R462+R464+R468+R472+R471</f>
        <v>67956.358000000007</v>
      </c>
      <c r="S459" s="24">
        <f>S460+S462+S464+S468+S472+S471</f>
        <v>81927.602999999988</v>
      </c>
      <c r="T459" s="24">
        <f>T460+T462+T464+T468+T472+T471</f>
        <v>3993890.8</v>
      </c>
      <c r="U459" s="24">
        <f t="shared" ref="U459" si="312">U460+U462+U464+U468+U472+U471</f>
        <v>1136775.0089999998</v>
      </c>
      <c r="V459" s="24">
        <f t="shared" ref="V459:W459" si="313">V460+V462+V464+V468+V472+V471</f>
        <v>1466989.0649999999</v>
      </c>
      <c r="W459" s="24">
        <f t="shared" si="313"/>
        <v>1160179.9510000001</v>
      </c>
      <c r="X459" s="24">
        <f>X460+X462+X464+X468+X472+X471</f>
        <v>1437207.382</v>
      </c>
      <c r="Y459" s="24">
        <f>Y460+Y462+Y464+Y468+Y472+Y471</f>
        <v>2019145.5839999998</v>
      </c>
      <c r="Z459" s="408">
        <f>SUM(H459:Y459)</f>
        <v>19049376.615999997</v>
      </c>
    </row>
    <row r="460" spans="1:26" ht="12.75" customHeight="1">
      <c r="A460" s="404"/>
      <c r="B460" s="21" t="s">
        <v>123</v>
      </c>
      <c r="C460" s="402"/>
      <c r="D460" s="394"/>
      <c r="E460" s="402"/>
      <c r="F460" s="412"/>
      <c r="G460" s="293">
        <v>3133418.7</v>
      </c>
      <c r="H460" s="284">
        <f t="shared" ref="H460:Y460" si="314">H446+H140</f>
        <v>91066.599999999991</v>
      </c>
      <c r="I460" s="284">
        <f t="shared" si="314"/>
        <v>231463.26899999997</v>
      </c>
      <c r="J460" s="284">
        <f t="shared" si="314"/>
        <v>84330.217999999993</v>
      </c>
      <c r="K460" s="284">
        <f t="shared" si="314"/>
        <v>116778.71399999998</v>
      </c>
      <c r="L460" s="284">
        <f t="shared" si="314"/>
        <v>1712360.2999999998</v>
      </c>
      <c r="M460" s="284">
        <f t="shared" si="314"/>
        <v>38282.771000000001</v>
      </c>
      <c r="N460" s="414">
        <f t="shared" si="314"/>
        <v>94332.207999999984</v>
      </c>
      <c r="O460" s="284">
        <f t="shared" si="314"/>
        <v>120037.12200000002</v>
      </c>
      <c r="P460" s="284">
        <f t="shared" si="314"/>
        <v>0</v>
      </c>
      <c r="Q460" s="284">
        <f t="shared" si="314"/>
        <v>3874.2710000000002</v>
      </c>
      <c r="R460" s="284">
        <f t="shared" si="314"/>
        <v>67956.358000000007</v>
      </c>
      <c r="S460" s="284">
        <f t="shared" si="314"/>
        <v>81927.602999999988</v>
      </c>
      <c r="T460" s="284">
        <f t="shared" si="314"/>
        <v>1803426.9</v>
      </c>
      <c r="U460" s="284">
        <f t="shared" si="314"/>
        <v>273620.31099999999</v>
      </c>
      <c r="V460" s="284">
        <f t="shared" si="314"/>
        <v>246618.78399999999</v>
      </c>
      <c r="W460" s="284">
        <f t="shared" si="314"/>
        <v>318743.43900000001</v>
      </c>
      <c r="X460" s="284">
        <f t="shared" si="314"/>
        <v>1187964.673</v>
      </c>
      <c r="Y460" s="284">
        <f t="shared" si="314"/>
        <v>1358404.3739999998</v>
      </c>
      <c r="Z460" s="409"/>
    </row>
    <row r="461" spans="1:26" ht="12.75" customHeight="1">
      <c r="A461" s="404"/>
      <c r="B461" s="38" t="s">
        <v>25</v>
      </c>
      <c r="C461" s="402"/>
      <c r="D461" s="394"/>
      <c r="E461" s="402"/>
      <c r="F461" s="412"/>
      <c r="G461" s="411"/>
      <c r="H461" s="284"/>
      <c r="I461" s="284"/>
      <c r="J461" s="284"/>
      <c r="K461" s="284"/>
      <c r="L461" s="284"/>
      <c r="M461" s="284"/>
      <c r="N461" s="414"/>
      <c r="O461" s="284"/>
      <c r="P461" s="284"/>
      <c r="Q461" s="284"/>
      <c r="R461" s="284"/>
      <c r="S461" s="284"/>
      <c r="T461" s="284"/>
      <c r="U461" s="284"/>
      <c r="V461" s="284"/>
      <c r="W461" s="284"/>
      <c r="X461" s="284"/>
      <c r="Y461" s="284"/>
      <c r="Z461" s="409"/>
    </row>
    <row r="462" spans="1:26">
      <c r="A462" s="404"/>
      <c r="B462" s="22" t="s">
        <v>27</v>
      </c>
      <c r="C462" s="402"/>
      <c r="D462" s="394"/>
      <c r="E462" s="402"/>
      <c r="F462" s="412"/>
      <c r="G462" s="134">
        <f>SUM(G463)</f>
        <v>0</v>
      </c>
      <c r="H462" s="134">
        <f>H463</f>
        <v>0</v>
      </c>
      <c r="I462" s="134">
        <f t="shared" ref="I462:W462" si="315">I463</f>
        <v>0</v>
      </c>
      <c r="J462" s="134">
        <f t="shared" si="315"/>
        <v>0</v>
      </c>
      <c r="K462" s="134">
        <f t="shared" si="315"/>
        <v>0</v>
      </c>
      <c r="L462" s="134">
        <f t="shared" si="315"/>
        <v>0</v>
      </c>
      <c r="M462" s="134">
        <f t="shared" si="315"/>
        <v>0</v>
      </c>
      <c r="N462" s="134">
        <f t="shared" si="315"/>
        <v>0</v>
      </c>
      <c r="O462" s="134">
        <f t="shared" si="315"/>
        <v>0</v>
      </c>
      <c r="P462" s="240">
        <f t="shared" si="315"/>
        <v>0</v>
      </c>
      <c r="Q462" s="240">
        <f t="shared" si="315"/>
        <v>0</v>
      </c>
      <c r="R462" s="240">
        <f t="shared" si="315"/>
        <v>0</v>
      </c>
      <c r="S462" s="240">
        <f t="shared" si="315"/>
        <v>0</v>
      </c>
      <c r="T462" s="134">
        <f t="shared" si="315"/>
        <v>0</v>
      </c>
      <c r="U462" s="144">
        <f t="shared" si="315"/>
        <v>0</v>
      </c>
      <c r="V462" s="144">
        <f t="shared" si="315"/>
        <v>0</v>
      </c>
      <c r="W462" s="144">
        <f t="shared" si="315"/>
        <v>0</v>
      </c>
      <c r="X462" s="134">
        <f>X463</f>
        <v>0</v>
      </c>
      <c r="Y462" s="134">
        <f>Y463</f>
        <v>0</v>
      </c>
      <c r="Z462" s="409"/>
    </row>
    <row r="463" spans="1:26" ht="15" customHeight="1">
      <c r="A463" s="404"/>
      <c r="B463" s="66" t="s">
        <v>40</v>
      </c>
      <c r="C463" s="402"/>
      <c r="D463" s="394"/>
      <c r="E463" s="402"/>
      <c r="F463" s="412"/>
      <c r="G463" s="133">
        <f>SUM(H463:Y463)</f>
        <v>0</v>
      </c>
      <c r="H463" s="133">
        <f t="shared" ref="H463:Y463" si="316">H143+H449</f>
        <v>0</v>
      </c>
      <c r="I463" s="133">
        <f t="shared" si="316"/>
        <v>0</v>
      </c>
      <c r="J463" s="133">
        <f t="shared" si="316"/>
        <v>0</v>
      </c>
      <c r="K463" s="133">
        <f t="shared" si="316"/>
        <v>0</v>
      </c>
      <c r="L463" s="133">
        <f t="shared" si="316"/>
        <v>0</v>
      </c>
      <c r="M463" s="133">
        <f t="shared" si="316"/>
        <v>0</v>
      </c>
      <c r="N463" s="133">
        <f t="shared" si="316"/>
        <v>0</v>
      </c>
      <c r="O463" s="133">
        <f t="shared" si="316"/>
        <v>0</v>
      </c>
      <c r="P463" s="239">
        <f t="shared" si="316"/>
        <v>0</v>
      </c>
      <c r="Q463" s="239">
        <f t="shared" si="316"/>
        <v>0</v>
      </c>
      <c r="R463" s="239">
        <f t="shared" si="316"/>
        <v>0</v>
      </c>
      <c r="S463" s="239">
        <f t="shared" si="316"/>
        <v>0</v>
      </c>
      <c r="T463" s="133">
        <f t="shared" si="316"/>
        <v>0</v>
      </c>
      <c r="U463" s="145">
        <f t="shared" si="316"/>
        <v>0</v>
      </c>
      <c r="V463" s="145">
        <f t="shared" si="316"/>
        <v>0</v>
      </c>
      <c r="W463" s="145">
        <f t="shared" si="316"/>
        <v>0</v>
      </c>
      <c r="X463" s="133">
        <f t="shared" si="316"/>
        <v>0</v>
      </c>
      <c r="Y463" s="133">
        <f t="shared" si="316"/>
        <v>0</v>
      </c>
      <c r="Z463" s="409"/>
    </row>
    <row r="464" spans="1:26">
      <c r="A464" s="404"/>
      <c r="B464" s="22" t="s">
        <v>28</v>
      </c>
      <c r="C464" s="402"/>
      <c r="D464" s="394"/>
      <c r="E464" s="402"/>
      <c r="F464" s="412"/>
      <c r="G464" s="134">
        <f>SUM(G465:G467)</f>
        <v>1120963.8999999999</v>
      </c>
      <c r="H464" s="134">
        <f>SUM(H465:H467)</f>
        <v>1120963.8999999999</v>
      </c>
      <c r="I464" s="134">
        <f t="shared" ref="I464:K464" si="317">SUM(I465:I467)</f>
        <v>588268.21199999994</v>
      </c>
      <c r="J464" s="134">
        <f t="shared" si="317"/>
        <v>660741.21</v>
      </c>
      <c r="K464" s="134">
        <f t="shared" si="317"/>
        <v>660741.21</v>
      </c>
      <c r="L464" s="134">
        <f t="shared" ref="L464:T464" si="318">SUM(L465:L467)</f>
        <v>0</v>
      </c>
      <c r="M464" s="134">
        <f t="shared" si="318"/>
        <v>226598.66</v>
      </c>
      <c r="N464" s="202">
        <f t="shared" si="318"/>
        <v>163973.90200000003</v>
      </c>
      <c r="O464" s="134">
        <f t="shared" si="318"/>
        <v>163973.89800000002</v>
      </c>
      <c r="P464" s="240">
        <f t="shared" ref="P464:S464" si="319">SUM(P465:P467)</f>
        <v>0</v>
      </c>
      <c r="Q464" s="240">
        <f t="shared" si="319"/>
        <v>0</v>
      </c>
      <c r="R464" s="263">
        <f t="shared" si="319"/>
        <v>0</v>
      </c>
      <c r="S464" s="240">
        <f t="shared" si="319"/>
        <v>0</v>
      </c>
      <c r="T464" s="134">
        <f t="shared" si="318"/>
        <v>1120963.8999999999</v>
      </c>
      <c r="U464" s="144">
        <f t="shared" ref="U464" si="320">SUM(U465:U467)</f>
        <v>814866.87199999986</v>
      </c>
      <c r="V464" s="144">
        <f t="shared" ref="V464:W464" si="321">SUM(V465:V467)</f>
        <v>824715.11199999996</v>
      </c>
      <c r="W464" s="144">
        <f t="shared" si="321"/>
        <v>824715.10800000001</v>
      </c>
      <c r="X464" s="134">
        <f>SUM(X465:X467)</f>
        <v>77717.709000000017</v>
      </c>
      <c r="Y464" s="134">
        <f>SUM(Y465:Y467)</f>
        <v>660741.21</v>
      </c>
      <c r="Z464" s="409"/>
    </row>
    <row r="465" spans="1:26">
      <c r="A465" s="404"/>
      <c r="B465" s="42" t="s">
        <v>39</v>
      </c>
      <c r="C465" s="402"/>
      <c r="D465" s="394"/>
      <c r="E465" s="402"/>
      <c r="F465" s="412"/>
      <c r="G465" s="133">
        <f>SUM(H465)</f>
        <v>909033.2</v>
      </c>
      <c r="H465" s="133">
        <f t="shared" ref="H465:Y465" si="322">H451+H145</f>
        <v>909033.2</v>
      </c>
      <c r="I465" s="133">
        <f t="shared" si="322"/>
        <v>442973.03199999989</v>
      </c>
      <c r="J465" s="133">
        <f t="shared" si="322"/>
        <v>503571.46100000001</v>
      </c>
      <c r="K465" s="133">
        <f t="shared" si="322"/>
        <v>503571.46100000001</v>
      </c>
      <c r="L465" s="133">
        <f t="shared" si="322"/>
        <v>0</v>
      </c>
      <c r="M465" s="133">
        <f t="shared" si="322"/>
        <v>195345.818</v>
      </c>
      <c r="N465" s="133">
        <f t="shared" si="322"/>
        <v>141985.50900000002</v>
      </c>
      <c r="O465" s="133">
        <f t="shared" si="322"/>
        <v>141985.50900000002</v>
      </c>
      <c r="P465" s="239">
        <f t="shared" si="322"/>
        <v>0</v>
      </c>
      <c r="Q465" s="239">
        <f t="shared" si="322"/>
        <v>0</v>
      </c>
      <c r="R465" s="239">
        <f t="shared" si="322"/>
        <v>0</v>
      </c>
      <c r="S465" s="239">
        <f t="shared" si="322"/>
        <v>0</v>
      </c>
      <c r="T465" s="133">
        <f t="shared" si="322"/>
        <v>909033.2</v>
      </c>
      <c r="U465" s="145">
        <f t="shared" si="322"/>
        <v>638318.84999999986</v>
      </c>
      <c r="V465" s="145">
        <f t="shared" si="322"/>
        <v>645556.97</v>
      </c>
      <c r="W465" s="145">
        <f t="shared" si="322"/>
        <v>645556.97</v>
      </c>
      <c r="X465" s="133">
        <f t="shared" si="322"/>
        <v>74142.412000000011</v>
      </c>
      <c r="Y465" s="133">
        <f t="shared" si="322"/>
        <v>503571.46100000001</v>
      </c>
      <c r="Z465" s="409"/>
    </row>
    <row r="466" spans="1:26">
      <c r="A466" s="404"/>
      <c r="B466" s="39" t="s">
        <v>30</v>
      </c>
      <c r="C466" s="402"/>
      <c r="D466" s="394"/>
      <c r="E466" s="402"/>
      <c r="F466" s="412"/>
      <c r="G466" s="133">
        <f t="shared" ref="G466:G467" si="323">SUM(H466)</f>
        <v>41293.5</v>
      </c>
      <c r="H466" s="133">
        <f t="shared" ref="H466:Y466" si="324">H452+H146</f>
        <v>41293.5</v>
      </c>
      <c r="I466" s="133">
        <f t="shared" si="324"/>
        <v>25280.574999999997</v>
      </c>
      <c r="J466" s="133">
        <f t="shared" si="324"/>
        <v>27010.179</v>
      </c>
      <c r="K466" s="133">
        <f t="shared" si="324"/>
        <v>27010.179</v>
      </c>
      <c r="L466" s="133">
        <f t="shared" si="324"/>
        <v>0</v>
      </c>
      <c r="M466" s="133">
        <f t="shared" si="324"/>
        <v>7860.1109999999999</v>
      </c>
      <c r="N466" s="133">
        <f t="shared" si="324"/>
        <v>5361.9560000000001</v>
      </c>
      <c r="O466" s="133">
        <f t="shared" si="324"/>
        <v>5361.9560000000001</v>
      </c>
      <c r="P466" s="239">
        <f t="shared" si="324"/>
        <v>0</v>
      </c>
      <c r="Q466" s="239">
        <f t="shared" si="324"/>
        <v>0</v>
      </c>
      <c r="R466" s="239">
        <f t="shared" si="324"/>
        <v>0</v>
      </c>
      <c r="S466" s="239">
        <f t="shared" si="324"/>
        <v>0</v>
      </c>
      <c r="T466" s="133">
        <f t="shared" si="324"/>
        <v>41293.5</v>
      </c>
      <c r="U466" s="145">
        <f t="shared" si="324"/>
        <v>33140.686000000002</v>
      </c>
      <c r="V466" s="145">
        <f t="shared" si="324"/>
        <v>32372.134999999998</v>
      </c>
      <c r="W466" s="145">
        <f t="shared" si="324"/>
        <v>32372.134999999998</v>
      </c>
      <c r="X466" s="133">
        <f t="shared" si="324"/>
        <v>3575.297</v>
      </c>
      <c r="Y466" s="133">
        <f t="shared" si="324"/>
        <v>27010.179</v>
      </c>
      <c r="Z466" s="409"/>
    </row>
    <row r="467" spans="1:26">
      <c r="A467" s="404"/>
      <c r="B467" s="39" t="s">
        <v>31</v>
      </c>
      <c r="C467" s="402"/>
      <c r="D467" s="394"/>
      <c r="E467" s="402"/>
      <c r="F467" s="412"/>
      <c r="G467" s="133">
        <f t="shared" si="323"/>
        <v>170637.19999999998</v>
      </c>
      <c r="H467" s="133">
        <f t="shared" ref="H467:Y467" si="325">H453+H147</f>
        <v>170637.19999999998</v>
      </c>
      <c r="I467" s="133">
        <f t="shared" si="325"/>
        <v>120014.605</v>
      </c>
      <c r="J467" s="133">
        <f t="shared" si="325"/>
        <v>130159.57</v>
      </c>
      <c r="K467" s="133">
        <f t="shared" si="325"/>
        <v>130159.57</v>
      </c>
      <c r="L467" s="133">
        <f t="shared" si="325"/>
        <v>0</v>
      </c>
      <c r="M467" s="133">
        <f t="shared" si="325"/>
        <v>23392.731000000003</v>
      </c>
      <c r="N467" s="133">
        <f t="shared" si="325"/>
        <v>16626.436999999998</v>
      </c>
      <c r="O467" s="133">
        <f t="shared" si="325"/>
        <v>16626.433000000001</v>
      </c>
      <c r="P467" s="239">
        <f t="shared" si="325"/>
        <v>0</v>
      </c>
      <c r="Q467" s="239">
        <f t="shared" si="325"/>
        <v>0</v>
      </c>
      <c r="R467" s="239">
        <f t="shared" si="325"/>
        <v>0</v>
      </c>
      <c r="S467" s="239">
        <f t="shared" si="325"/>
        <v>0</v>
      </c>
      <c r="T467" s="133">
        <f t="shared" si="325"/>
        <v>170637.19999999998</v>
      </c>
      <c r="U467" s="145">
        <f t="shared" si="325"/>
        <v>143407.33600000001</v>
      </c>
      <c r="V467" s="145">
        <f t="shared" si="325"/>
        <v>146786.00700000001</v>
      </c>
      <c r="W467" s="145">
        <f t="shared" si="325"/>
        <v>146786.003</v>
      </c>
      <c r="X467" s="133">
        <f t="shared" si="325"/>
        <v>0</v>
      </c>
      <c r="Y467" s="133">
        <f t="shared" si="325"/>
        <v>130159.57</v>
      </c>
      <c r="Z467" s="409"/>
    </row>
    <row r="468" spans="1:26">
      <c r="A468" s="404"/>
      <c r="B468" s="22" t="s">
        <v>35</v>
      </c>
      <c r="C468" s="402"/>
      <c r="D468" s="394"/>
      <c r="E468" s="402"/>
      <c r="F468" s="412"/>
      <c r="G468" s="134">
        <f>SUM(H468)</f>
        <v>683400</v>
      </c>
      <c r="H468" s="134">
        <f>SUM(H469:H470)</f>
        <v>683400</v>
      </c>
      <c r="I468" s="134">
        <f t="shared" ref="I468:K468" si="326">SUM(I469:I470)</f>
        <v>0</v>
      </c>
      <c r="J468" s="134">
        <f t="shared" si="326"/>
        <v>0</v>
      </c>
      <c r="K468" s="134">
        <f t="shared" si="326"/>
        <v>0</v>
      </c>
      <c r="L468" s="134">
        <f t="shared" ref="L468:T468" si="327">SUM(L469:L470)</f>
        <v>0</v>
      </c>
      <c r="M468" s="134">
        <f t="shared" si="327"/>
        <v>0</v>
      </c>
      <c r="N468" s="134">
        <f t="shared" si="327"/>
        <v>0</v>
      </c>
      <c r="O468" s="134">
        <f t="shared" si="327"/>
        <v>0</v>
      </c>
      <c r="P468" s="240">
        <f t="shared" ref="P468:S468" si="328">SUM(P469:P470)</f>
        <v>0</v>
      </c>
      <c r="Q468" s="240">
        <f t="shared" si="328"/>
        <v>21704.989000000001</v>
      </c>
      <c r="R468" s="240">
        <f t="shared" si="328"/>
        <v>0</v>
      </c>
      <c r="S468" s="240">
        <f t="shared" si="328"/>
        <v>0</v>
      </c>
      <c r="T468" s="134">
        <f t="shared" si="327"/>
        <v>683400</v>
      </c>
      <c r="U468" s="144">
        <f t="shared" ref="U468" si="329">SUM(U469:U470)</f>
        <v>21704.989000000001</v>
      </c>
      <c r="V468" s="144">
        <f t="shared" ref="V468:W468" si="330">SUM(V469:V470)</f>
        <v>0</v>
      </c>
      <c r="W468" s="144">
        <f t="shared" si="330"/>
        <v>0</v>
      </c>
      <c r="X468" s="134">
        <f>SUM(X469:X470)</f>
        <v>0</v>
      </c>
      <c r="Y468" s="134">
        <f>SUM(Y469:Y470)</f>
        <v>0</v>
      </c>
      <c r="Z468" s="409"/>
    </row>
    <row r="469" spans="1:26">
      <c r="A469" s="404"/>
      <c r="B469" s="39" t="s">
        <v>53</v>
      </c>
      <c r="C469" s="402"/>
      <c r="D469" s="394"/>
      <c r="E469" s="402"/>
      <c r="F469" s="412"/>
      <c r="G469" s="133">
        <f>SUM(H469)</f>
        <v>357000</v>
      </c>
      <c r="H469" s="133">
        <f t="shared" ref="H469:Y470" si="331">H455</f>
        <v>357000</v>
      </c>
      <c r="I469" s="133">
        <f t="shared" ref="I469:K469" si="332">I455</f>
        <v>0</v>
      </c>
      <c r="J469" s="133">
        <f t="shared" si="332"/>
        <v>0</v>
      </c>
      <c r="K469" s="133">
        <f t="shared" si="332"/>
        <v>0</v>
      </c>
      <c r="L469" s="133">
        <f t="shared" ref="L469:T469" si="333">L455</f>
        <v>0</v>
      </c>
      <c r="M469" s="133">
        <f t="shared" si="333"/>
        <v>0</v>
      </c>
      <c r="N469" s="133">
        <f t="shared" si="333"/>
        <v>0</v>
      </c>
      <c r="O469" s="133">
        <f t="shared" si="333"/>
        <v>0</v>
      </c>
      <c r="P469" s="239">
        <f t="shared" ref="P469:S469" si="334">P455</f>
        <v>0</v>
      </c>
      <c r="Q469" s="239">
        <f t="shared" si="334"/>
        <v>0</v>
      </c>
      <c r="R469" s="239">
        <f t="shared" si="334"/>
        <v>0</v>
      </c>
      <c r="S469" s="239">
        <f t="shared" si="334"/>
        <v>0</v>
      </c>
      <c r="T469" s="133">
        <f t="shared" si="333"/>
        <v>357000</v>
      </c>
      <c r="U469" s="145">
        <f t="shared" ref="U469" si="335">U455</f>
        <v>0</v>
      </c>
      <c r="V469" s="145">
        <f t="shared" ref="V469:W469" si="336">V455</f>
        <v>0</v>
      </c>
      <c r="W469" s="145">
        <f t="shared" si="336"/>
        <v>0</v>
      </c>
      <c r="X469" s="133">
        <f t="shared" si="331"/>
        <v>0</v>
      </c>
      <c r="Y469" s="133">
        <f t="shared" si="331"/>
        <v>0</v>
      </c>
      <c r="Z469" s="409"/>
    </row>
    <row r="470" spans="1:26">
      <c r="A470" s="404"/>
      <c r="B470" s="39" t="s">
        <v>54</v>
      </c>
      <c r="C470" s="402"/>
      <c r="D470" s="394"/>
      <c r="E470" s="402"/>
      <c r="F470" s="412"/>
      <c r="G470" s="145">
        <f>SUM(H470)</f>
        <v>326400</v>
      </c>
      <c r="H470" s="133">
        <f t="shared" si="331"/>
        <v>326400</v>
      </c>
      <c r="I470" s="133">
        <f t="shared" ref="I470:K470" si="337">I456</f>
        <v>0</v>
      </c>
      <c r="J470" s="133">
        <f t="shared" si="337"/>
        <v>0</v>
      </c>
      <c r="K470" s="133">
        <f t="shared" si="337"/>
        <v>0</v>
      </c>
      <c r="L470" s="133">
        <f t="shared" ref="L470:T470" si="338">L456</f>
        <v>0</v>
      </c>
      <c r="M470" s="133">
        <f t="shared" si="338"/>
        <v>0</v>
      </c>
      <c r="N470" s="133">
        <f t="shared" si="338"/>
        <v>0</v>
      </c>
      <c r="O470" s="133">
        <f t="shared" si="338"/>
        <v>0</v>
      </c>
      <c r="P470" s="239">
        <f t="shared" ref="P470:S470" si="339">P456</f>
        <v>0</v>
      </c>
      <c r="Q470" s="239">
        <f t="shared" si="339"/>
        <v>21704.989000000001</v>
      </c>
      <c r="R470" s="239">
        <f t="shared" si="339"/>
        <v>0</v>
      </c>
      <c r="S470" s="239">
        <f t="shared" si="339"/>
        <v>0</v>
      </c>
      <c r="T470" s="133">
        <f t="shared" si="338"/>
        <v>326400</v>
      </c>
      <c r="U470" s="145">
        <f t="shared" ref="U470" si="340">U456</f>
        <v>21704.989000000001</v>
      </c>
      <c r="V470" s="145">
        <f t="shared" ref="V470:W470" si="341">V456</f>
        <v>0</v>
      </c>
      <c r="W470" s="145">
        <f t="shared" si="341"/>
        <v>0</v>
      </c>
      <c r="X470" s="133">
        <f t="shared" si="331"/>
        <v>0</v>
      </c>
      <c r="Y470" s="133">
        <f t="shared" si="331"/>
        <v>0</v>
      </c>
      <c r="Z470" s="409"/>
    </row>
    <row r="471" spans="1:26" s="185" customFormat="1" ht="13.5">
      <c r="A471" s="404"/>
      <c r="B471" s="21" t="s">
        <v>127</v>
      </c>
      <c r="C471" s="402"/>
      <c r="D471" s="394"/>
      <c r="E471" s="402"/>
      <c r="F471" s="412"/>
      <c r="G471" s="134">
        <v>75000</v>
      </c>
      <c r="H471" s="127"/>
      <c r="I471" s="127"/>
      <c r="J471" s="127"/>
      <c r="K471" s="127"/>
      <c r="L471" s="127">
        <v>75000</v>
      </c>
      <c r="M471" s="127"/>
      <c r="N471" s="127"/>
      <c r="O471" s="127"/>
      <c r="P471" s="234">
        <v>0</v>
      </c>
      <c r="Q471" s="234">
        <f>Q457</f>
        <v>2354</v>
      </c>
      <c r="R471" s="234"/>
      <c r="S471" s="234"/>
      <c r="T471" s="127"/>
      <c r="U471" s="142"/>
      <c r="V471" s="142"/>
      <c r="W471" s="142"/>
      <c r="X471" s="134">
        <v>75000</v>
      </c>
      <c r="Y471" s="127"/>
      <c r="Z471" s="409"/>
    </row>
    <row r="472" spans="1:26">
      <c r="A472" s="405"/>
      <c r="B472" s="21" t="s">
        <v>114</v>
      </c>
      <c r="C472" s="403"/>
      <c r="D472" s="395"/>
      <c r="E472" s="403"/>
      <c r="F472" s="413"/>
      <c r="G472" s="134">
        <v>386100</v>
      </c>
      <c r="H472" s="134">
        <f t="shared" ref="H472:Y472" si="342">H60</f>
        <v>289575</v>
      </c>
      <c r="I472" s="134">
        <f t="shared" si="342"/>
        <v>0</v>
      </c>
      <c r="J472" s="134">
        <f t="shared" si="342"/>
        <v>0</v>
      </c>
      <c r="K472" s="134">
        <f t="shared" si="342"/>
        <v>0</v>
      </c>
      <c r="L472" s="134">
        <f t="shared" ref="L472:T472" si="343">L60</f>
        <v>96525</v>
      </c>
      <c r="M472" s="134">
        <f t="shared" si="343"/>
        <v>26582.837</v>
      </c>
      <c r="N472" s="134">
        <f t="shared" si="343"/>
        <v>395655.16899999999</v>
      </c>
      <c r="O472" s="134">
        <f t="shared" si="343"/>
        <v>16721.403999999999</v>
      </c>
      <c r="P472" s="240">
        <f t="shared" ref="P472:S472" si="344">P60</f>
        <v>0</v>
      </c>
      <c r="Q472" s="240">
        <f t="shared" si="344"/>
        <v>0</v>
      </c>
      <c r="R472" s="240">
        <f t="shared" si="344"/>
        <v>0</v>
      </c>
      <c r="S472" s="240">
        <f t="shared" si="344"/>
        <v>0</v>
      </c>
      <c r="T472" s="134">
        <f t="shared" si="343"/>
        <v>386100</v>
      </c>
      <c r="U472" s="144">
        <f t="shared" ref="U472" si="345">U60</f>
        <v>26582.837</v>
      </c>
      <c r="V472" s="144">
        <f t="shared" ref="V472:W472" si="346">V60</f>
        <v>395655.16899999999</v>
      </c>
      <c r="W472" s="144">
        <f t="shared" si="346"/>
        <v>16721.403999999999</v>
      </c>
      <c r="X472" s="134">
        <f t="shared" si="342"/>
        <v>96525</v>
      </c>
      <c r="Y472" s="134">
        <f t="shared" si="342"/>
        <v>0</v>
      </c>
      <c r="Z472" s="410"/>
    </row>
    <row r="473" spans="1:26">
      <c r="A473" s="179"/>
      <c r="B473" s="126"/>
      <c r="C473" s="180"/>
      <c r="D473" s="181"/>
      <c r="E473" s="180"/>
      <c r="F473" s="182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183"/>
    </row>
    <row r="474" spans="1:26"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</row>
    <row r="475" spans="1:26"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</row>
    <row r="476" spans="1:26">
      <c r="B476" s="123" t="s">
        <v>270</v>
      </c>
      <c r="K476" s="125"/>
      <c r="M476" s="125" t="s">
        <v>181</v>
      </c>
      <c r="Q476" s="125" t="s">
        <v>274</v>
      </c>
    </row>
    <row r="478" spans="1:26">
      <c r="B478" s="123" t="s">
        <v>182</v>
      </c>
      <c r="K478" s="125"/>
      <c r="M478" s="125" t="s">
        <v>183</v>
      </c>
      <c r="Q478" s="125" t="s">
        <v>183</v>
      </c>
    </row>
    <row r="479" spans="1:26">
      <c r="K479" s="125"/>
      <c r="M479" s="125"/>
      <c r="Q479" s="125"/>
    </row>
    <row r="480" spans="1:26">
      <c r="B480" s="123" t="s">
        <v>191</v>
      </c>
      <c r="K480" s="125"/>
      <c r="M480" s="125" t="s">
        <v>184</v>
      </c>
      <c r="Q480" s="125" t="s">
        <v>184</v>
      </c>
    </row>
    <row r="482" spans="2:21">
      <c r="B482" s="123" t="s">
        <v>185</v>
      </c>
      <c r="K482" s="125"/>
      <c r="M482" s="125" t="s">
        <v>186</v>
      </c>
      <c r="Q482" s="125" t="s">
        <v>271</v>
      </c>
      <c r="R482" s="123"/>
      <c r="S482" s="123"/>
      <c r="T482" s="123"/>
      <c r="U482" s="125" t="s">
        <v>188</v>
      </c>
    </row>
    <row r="483" spans="2:21"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</row>
    <row r="484" spans="2:21">
      <c r="B484" s="68" t="s">
        <v>187</v>
      </c>
      <c r="G484" s="123" t="s">
        <v>273</v>
      </c>
      <c r="J484" s="125"/>
      <c r="K484" s="125"/>
      <c r="Q484" s="123"/>
      <c r="R484" s="123" t="s">
        <v>188</v>
      </c>
      <c r="S484" s="123"/>
      <c r="T484" s="123"/>
      <c r="U484" s="125" t="s">
        <v>189</v>
      </c>
    </row>
    <row r="486" spans="2:21">
      <c r="G486" s="123" t="s">
        <v>272</v>
      </c>
      <c r="J486" s="125"/>
      <c r="Q486" s="123"/>
      <c r="R486" s="123" t="s">
        <v>189</v>
      </c>
    </row>
  </sheetData>
  <mergeCells count="687">
    <mergeCell ref="W396:W397"/>
    <mergeCell ref="W407:W408"/>
    <mergeCell ref="W418:W419"/>
    <mergeCell ref="W429:W430"/>
    <mergeCell ref="M7:M8"/>
    <mergeCell ref="M32:M33"/>
    <mergeCell ref="M157:M158"/>
    <mergeCell ref="M359:M360"/>
    <mergeCell ref="W157:W158"/>
    <mergeCell ref="W191:W192"/>
    <mergeCell ref="W202:W203"/>
    <mergeCell ref="W235:W236"/>
    <mergeCell ref="W248:W249"/>
    <mergeCell ref="W262:W263"/>
    <mergeCell ref="W284:W285"/>
    <mergeCell ref="W297:W298"/>
    <mergeCell ref="W308:W309"/>
    <mergeCell ref="V157:V158"/>
    <mergeCell ref="V191:V192"/>
    <mergeCell ref="V202:V203"/>
    <mergeCell ref="V235:V236"/>
    <mergeCell ref="V248:V249"/>
    <mergeCell ref="V262:V263"/>
    <mergeCell ref="U191:U192"/>
    <mergeCell ref="U284:U285"/>
    <mergeCell ref="U297:U298"/>
    <mergeCell ref="U308:U309"/>
    <mergeCell ref="W385:W386"/>
    <mergeCell ref="O308:O309"/>
    <mergeCell ref="P297:P298"/>
    <mergeCell ref="P331:P332"/>
    <mergeCell ref="P348:P349"/>
    <mergeCell ref="P385:P386"/>
    <mergeCell ref="Q331:Q332"/>
    <mergeCell ref="R331:R332"/>
    <mergeCell ref="S331:S332"/>
    <mergeCell ref="S297:S298"/>
    <mergeCell ref="Q373:Q374"/>
    <mergeCell ref="R373:R374"/>
    <mergeCell ref="S373:S374"/>
    <mergeCell ref="Q385:Q386"/>
    <mergeCell ref="R385:R386"/>
    <mergeCell ref="S385:S386"/>
    <mergeCell ref="V284:V285"/>
    <mergeCell ref="Q297:Q298"/>
    <mergeCell ref="R297:R298"/>
    <mergeCell ref="P93:P94"/>
    <mergeCell ref="P104:P105"/>
    <mergeCell ref="P115:P116"/>
    <mergeCell ref="P126:P127"/>
    <mergeCell ref="P137:P138"/>
    <mergeCell ref="Q62:Q63"/>
    <mergeCell ref="T93:T94"/>
    <mergeCell ref="U93:U94"/>
    <mergeCell ref="V93:V94"/>
    <mergeCell ref="V115:V116"/>
    <mergeCell ref="A201:A211"/>
    <mergeCell ref="C201:C211"/>
    <mergeCell ref="D201:D211"/>
    <mergeCell ref="J157:J158"/>
    <mergeCell ref="K157:K158"/>
    <mergeCell ref="I157:I158"/>
    <mergeCell ref="T157:T158"/>
    <mergeCell ref="T191:T192"/>
    <mergeCell ref="T202:T203"/>
    <mergeCell ref="L202:L203"/>
    <mergeCell ref="D190:D200"/>
    <mergeCell ref="P202:P203"/>
    <mergeCell ref="Q191:Q192"/>
    <mergeCell ref="R191:R192"/>
    <mergeCell ref="S191:S192"/>
    <mergeCell ref="Q202:Q203"/>
    <mergeCell ref="R202:R203"/>
    <mergeCell ref="S202:S203"/>
    <mergeCell ref="N157:N158"/>
    <mergeCell ref="O157:O158"/>
    <mergeCell ref="C212:C222"/>
    <mergeCell ref="D212:D222"/>
    <mergeCell ref="X191:X192"/>
    <mergeCell ref="G191:G192"/>
    <mergeCell ref="L191:L192"/>
    <mergeCell ref="C61:C80"/>
    <mergeCell ref="E61:E80"/>
    <mergeCell ref="A136:A138"/>
    <mergeCell ref="B152:B153"/>
    <mergeCell ref="A152:A153"/>
    <mergeCell ref="C139:C150"/>
    <mergeCell ref="C190:C200"/>
    <mergeCell ref="A156:A188"/>
    <mergeCell ref="A190:A200"/>
    <mergeCell ref="E156:E188"/>
    <mergeCell ref="G62:G63"/>
    <mergeCell ref="E152:E153"/>
    <mergeCell ref="E139:E150"/>
    <mergeCell ref="G93:G94"/>
    <mergeCell ref="A139:A150"/>
    <mergeCell ref="G82:G83"/>
    <mergeCell ref="W93:W94"/>
    <mergeCell ref="U104:U105"/>
    <mergeCell ref="W115:W116"/>
    <mergeCell ref="A31:A60"/>
    <mergeCell ref="C31:C60"/>
    <mergeCell ref="A92:A102"/>
    <mergeCell ref="A81:A91"/>
    <mergeCell ref="A61:A80"/>
    <mergeCell ref="C81:C91"/>
    <mergeCell ref="F61:F80"/>
    <mergeCell ref="E31:E60"/>
    <mergeCell ref="D92:D102"/>
    <mergeCell ref="C92:C102"/>
    <mergeCell ref="F92:F102"/>
    <mergeCell ref="E92:E102"/>
    <mergeCell ref="D31:D60"/>
    <mergeCell ref="D61:D80"/>
    <mergeCell ref="E81:E91"/>
    <mergeCell ref="D81:D91"/>
    <mergeCell ref="Z307:Z318"/>
    <mergeCell ref="E272:E282"/>
    <mergeCell ref="Y235:Y236"/>
    <mergeCell ref="X224:X225"/>
    <mergeCell ref="X235:X236"/>
    <mergeCell ref="X248:X249"/>
    <mergeCell ref="X137:X138"/>
    <mergeCell ref="G137:G138"/>
    <mergeCell ref="I429:I430"/>
    <mergeCell ref="J429:J430"/>
    <mergeCell ref="K429:K430"/>
    <mergeCell ref="Z156:Z188"/>
    <mergeCell ref="Z190:Z200"/>
    <mergeCell ref="Z234:Z246"/>
    <mergeCell ref="Y213:Y214"/>
    <mergeCell ref="Z223:Z233"/>
    <mergeCell ref="Z201:Z211"/>
    <mergeCell ref="Y191:Y192"/>
    <mergeCell ref="Y202:Y203"/>
    <mergeCell ref="Z212:Z222"/>
    <mergeCell ref="Z247:Z260"/>
    <mergeCell ref="Y224:Y225"/>
    <mergeCell ref="Y248:Y249"/>
    <mergeCell ref="X157:X158"/>
    <mergeCell ref="Y273:Y274"/>
    <mergeCell ref="X273:X274"/>
    <mergeCell ref="X262:X263"/>
    <mergeCell ref="Z261:Z271"/>
    <mergeCell ref="Y262:Y263"/>
    <mergeCell ref="D272:D282"/>
    <mergeCell ref="E234:E246"/>
    <mergeCell ref="E261:E271"/>
    <mergeCell ref="A212:A222"/>
    <mergeCell ref="D223:D233"/>
    <mergeCell ref="A272:A282"/>
    <mergeCell ref="A261:A271"/>
    <mergeCell ref="C272:C282"/>
    <mergeCell ref="E212:E222"/>
    <mergeCell ref="E223:E233"/>
    <mergeCell ref="C247:C260"/>
    <mergeCell ref="D247:D260"/>
    <mergeCell ref="A247:A260"/>
    <mergeCell ref="A234:A246"/>
    <mergeCell ref="D234:D246"/>
    <mergeCell ref="A223:A233"/>
    <mergeCell ref="X213:X214"/>
    <mergeCell ref="T235:T236"/>
    <mergeCell ref="T248:T249"/>
    <mergeCell ref="G224:G225"/>
    <mergeCell ref="H224:H225"/>
    <mergeCell ref="G235:G236"/>
    <mergeCell ref="H235:H236"/>
    <mergeCell ref="F234:F246"/>
    <mergeCell ref="A296:A306"/>
    <mergeCell ref="C296:C306"/>
    <mergeCell ref="C261:C271"/>
    <mergeCell ref="Z283:Z295"/>
    <mergeCell ref="G284:G285"/>
    <mergeCell ref="H284:H285"/>
    <mergeCell ref="A283:A295"/>
    <mergeCell ref="D283:D295"/>
    <mergeCell ref="E283:E295"/>
    <mergeCell ref="F283:F295"/>
    <mergeCell ref="Y284:Y285"/>
    <mergeCell ref="X284:X285"/>
    <mergeCell ref="Z272:Z282"/>
    <mergeCell ref="Z296:Z306"/>
    <mergeCell ref="G297:G298"/>
    <mergeCell ref="H297:H298"/>
    <mergeCell ref="G273:G274"/>
    <mergeCell ref="H273:H274"/>
    <mergeCell ref="F272:F282"/>
    <mergeCell ref="Y104:Y105"/>
    <mergeCell ref="C114:C124"/>
    <mergeCell ref="D114:D124"/>
    <mergeCell ref="A125:A135"/>
    <mergeCell ref="G115:G116"/>
    <mergeCell ref="F125:F135"/>
    <mergeCell ref="Y115:Y116"/>
    <mergeCell ref="Y126:Y127"/>
    <mergeCell ref="H115:H116"/>
    <mergeCell ref="D125:D135"/>
    <mergeCell ref="E103:E113"/>
    <mergeCell ref="E125:E135"/>
    <mergeCell ref="F114:F124"/>
    <mergeCell ref="G104:G105"/>
    <mergeCell ref="F103:F113"/>
    <mergeCell ref="C125:C135"/>
    <mergeCell ref="E114:E124"/>
    <mergeCell ref="T104:T105"/>
    <mergeCell ref="T115:T116"/>
    <mergeCell ref="A114:A124"/>
    <mergeCell ref="D103:D113"/>
    <mergeCell ref="V104:V105"/>
    <mergeCell ref="W104:W105"/>
    <mergeCell ref="U115:U116"/>
    <mergeCell ref="Z152:Z153"/>
    <mergeCell ref="Z139:Z150"/>
    <mergeCell ref="H152:Y152"/>
    <mergeCell ref="H93:H94"/>
    <mergeCell ref="X82:X83"/>
    <mergeCell ref="H82:H83"/>
    <mergeCell ref="X115:X116"/>
    <mergeCell ref="Z92:Z102"/>
    <mergeCell ref="Y93:Y94"/>
    <mergeCell ref="H126:H127"/>
    <mergeCell ref="H104:H105"/>
    <mergeCell ref="X104:X105"/>
    <mergeCell ref="T126:T127"/>
    <mergeCell ref="T137:T138"/>
    <mergeCell ref="U126:U127"/>
    <mergeCell ref="V126:V127"/>
    <mergeCell ref="W126:W127"/>
    <mergeCell ref="U137:U138"/>
    <mergeCell ref="V137:V138"/>
    <mergeCell ref="W137:W138"/>
    <mergeCell ref="I140:I141"/>
    <mergeCell ref="J140:J141"/>
    <mergeCell ref="K140:K141"/>
    <mergeCell ref="X126:X127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X7:X8"/>
    <mergeCell ref="A103:A113"/>
    <mergeCell ref="C103:C113"/>
    <mergeCell ref="Z1:Z2"/>
    <mergeCell ref="Z6:Z30"/>
    <mergeCell ref="Y7:Y8"/>
    <mergeCell ref="C6:C30"/>
    <mergeCell ref="D6:D30"/>
    <mergeCell ref="Z31:Z60"/>
    <mergeCell ref="Z61:Z80"/>
    <mergeCell ref="X62:X63"/>
    <mergeCell ref="H1:K1"/>
    <mergeCell ref="G1:G2"/>
    <mergeCell ref="I62:I63"/>
    <mergeCell ref="J62:J63"/>
    <mergeCell ref="K62:K63"/>
    <mergeCell ref="G32:G33"/>
    <mergeCell ref="F31:F60"/>
    <mergeCell ref="F81:F91"/>
    <mergeCell ref="Y32:Y33"/>
    <mergeCell ref="H32:H33"/>
    <mergeCell ref="X32:X33"/>
    <mergeCell ref="Z81:Z91"/>
    <mergeCell ref="Y62:Y63"/>
    <mergeCell ref="X297:X298"/>
    <mergeCell ref="Y297:Y298"/>
    <mergeCell ref="Y157:Y158"/>
    <mergeCell ref="H157:H158"/>
    <mergeCell ref="Y82:Y83"/>
    <mergeCell ref="Y140:Y141"/>
    <mergeCell ref="X202:X203"/>
    <mergeCell ref="Y137:Y138"/>
    <mergeCell ref="X93:X94"/>
    <mergeCell ref="X140:X141"/>
    <mergeCell ref="I137:I138"/>
    <mergeCell ref="J137:J138"/>
    <mergeCell ref="K137:K138"/>
    <mergeCell ref="L126:L127"/>
    <mergeCell ref="L137:L138"/>
    <mergeCell ref="L140:L141"/>
    <mergeCell ref="M140:M141"/>
    <mergeCell ref="N140:N141"/>
    <mergeCell ref="O140:O141"/>
    <mergeCell ref="T140:T141"/>
    <mergeCell ref="U140:U141"/>
    <mergeCell ref="V140:V141"/>
    <mergeCell ref="W140:W141"/>
    <mergeCell ref="L157:L158"/>
    <mergeCell ref="D296:D306"/>
    <mergeCell ref="D261:D271"/>
    <mergeCell ref="G140:G141"/>
    <mergeCell ref="G213:G214"/>
    <mergeCell ref="F190:F200"/>
    <mergeCell ref="G202:G203"/>
    <mergeCell ref="E190:E200"/>
    <mergeCell ref="C283:C295"/>
    <mergeCell ref="C223:C233"/>
    <mergeCell ref="G248:G249"/>
    <mergeCell ref="F247:F260"/>
    <mergeCell ref="E201:E211"/>
    <mergeCell ref="D139:D150"/>
    <mergeCell ref="E247:E260"/>
    <mergeCell ref="G152:G153"/>
    <mergeCell ref="F156:F188"/>
    <mergeCell ref="G157:G158"/>
    <mergeCell ref="C156:C188"/>
    <mergeCell ref="C234:C246"/>
    <mergeCell ref="D156:D188"/>
    <mergeCell ref="C152:C153"/>
    <mergeCell ref="E296:E306"/>
    <mergeCell ref="F296:F306"/>
    <mergeCell ref="D152:D153"/>
    <mergeCell ref="X308:X309"/>
    <mergeCell ref="X320:X321"/>
    <mergeCell ref="A319:A329"/>
    <mergeCell ref="G320:G321"/>
    <mergeCell ref="C319:C329"/>
    <mergeCell ref="D319:D329"/>
    <mergeCell ref="C307:C318"/>
    <mergeCell ref="A307:A318"/>
    <mergeCell ref="Y308:Y309"/>
    <mergeCell ref="F307:F318"/>
    <mergeCell ref="F319:F329"/>
    <mergeCell ref="H308:H309"/>
    <mergeCell ref="G308:G309"/>
    <mergeCell ref="I308:I309"/>
    <mergeCell ref="J308:J309"/>
    <mergeCell ref="K308:K309"/>
    <mergeCell ref="E319:E329"/>
    <mergeCell ref="E307:E318"/>
    <mergeCell ref="D307:D318"/>
    <mergeCell ref="L308:L309"/>
    <mergeCell ref="P308:P309"/>
    <mergeCell ref="Q308:Q309"/>
    <mergeCell ref="R308:R309"/>
    <mergeCell ref="S308:S309"/>
    <mergeCell ref="A330:A346"/>
    <mergeCell ref="C330:C346"/>
    <mergeCell ref="A358:A371"/>
    <mergeCell ref="C358:C371"/>
    <mergeCell ref="D358:D371"/>
    <mergeCell ref="E358:E371"/>
    <mergeCell ref="X348:X349"/>
    <mergeCell ref="Y348:Y349"/>
    <mergeCell ref="Y331:Y332"/>
    <mergeCell ref="H331:H332"/>
    <mergeCell ref="A347:A357"/>
    <mergeCell ref="C347:C357"/>
    <mergeCell ref="G348:G349"/>
    <mergeCell ref="H348:H349"/>
    <mergeCell ref="D347:D357"/>
    <mergeCell ref="E347:E357"/>
    <mergeCell ref="F347:F357"/>
    <mergeCell ref="D330:D346"/>
    <mergeCell ref="E330:E346"/>
    <mergeCell ref="U331:U332"/>
    <mergeCell ref="U348:U349"/>
    <mergeCell ref="U359:U360"/>
    <mergeCell ref="V331:V332"/>
    <mergeCell ref="V348:V349"/>
    <mergeCell ref="X385:X386"/>
    <mergeCell ref="Y385:Y386"/>
    <mergeCell ref="H373:H374"/>
    <mergeCell ref="X373:X374"/>
    <mergeCell ref="Z384:Z394"/>
    <mergeCell ref="Y373:Y374"/>
    <mergeCell ref="G373:G374"/>
    <mergeCell ref="Z319:Z329"/>
    <mergeCell ref="H320:H321"/>
    <mergeCell ref="X331:X332"/>
    <mergeCell ref="G331:G332"/>
    <mergeCell ref="Z347:Z357"/>
    <mergeCell ref="Z330:Z346"/>
    <mergeCell ref="Y320:Y321"/>
    <mergeCell ref="L385:L386"/>
    <mergeCell ref="U373:U374"/>
    <mergeCell ref="U385:U386"/>
    <mergeCell ref="V359:V360"/>
    <mergeCell ref="V373:V374"/>
    <mergeCell ref="V385:V386"/>
    <mergeCell ref="W331:W332"/>
    <mergeCell ref="W348:W349"/>
    <mergeCell ref="W359:W360"/>
    <mergeCell ref="W373:W374"/>
    <mergeCell ref="E372:E383"/>
    <mergeCell ref="Z358:Z371"/>
    <mergeCell ref="G359:G360"/>
    <mergeCell ref="H359:H360"/>
    <mergeCell ref="X359:X360"/>
    <mergeCell ref="Y359:Y360"/>
    <mergeCell ref="I359:I360"/>
    <mergeCell ref="J359:J360"/>
    <mergeCell ref="K359:K360"/>
    <mergeCell ref="Z372:Z383"/>
    <mergeCell ref="F358:F371"/>
    <mergeCell ref="F372:F383"/>
    <mergeCell ref="I373:I374"/>
    <mergeCell ref="J373:J374"/>
    <mergeCell ref="K373:K374"/>
    <mergeCell ref="P359:P360"/>
    <mergeCell ref="Q359:Q360"/>
    <mergeCell ref="R359:R360"/>
    <mergeCell ref="S359:S360"/>
    <mergeCell ref="P373:P374"/>
    <mergeCell ref="T359:T360"/>
    <mergeCell ref="L359:L360"/>
    <mergeCell ref="L373:L374"/>
    <mergeCell ref="T373:T374"/>
    <mergeCell ref="Z406:Z416"/>
    <mergeCell ref="G407:G408"/>
    <mergeCell ref="Z395:Z405"/>
    <mergeCell ref="X396:X397"/>
    <mergeCell ref="Y396:Y397"/>
    <mergeCell ref="H407:H408"/>
    <mergeCell ref="X407:X408"/>
    <mergeCell ref="Y407:Y408"/>
    <mergeCell ref="G396:G397"/>
    <mergeCell ref="T396:T397"/>
    <mergeCell ref="L396:L397"/>
    <mergeCell ref="T407:T408"/>
    <mergeCell ref="U396:U397"/>
    <mergeCell ref="U407:U408"/>
    <mergeCell ref="V396:V397"/>
    <mergeCell ref="V407:V408"/>
    <mergeCell ref="L407:L408"/>
    <mergeCell ref="P396:P397"/>
    <mergeCell ref="P407:P408"/>
    <mergeCell ref="Q396:Q397"/>
    <mergeCell ref="R396:R397"/>
    <mergeCell ref="S396:S397"/>
    <mergeCell ref="Q407:Q408"/>
    <mergeCell ref="R407:R408"/>
    <mergeCell ref="Z417:Z427"/>
    <mergeCell ref="Y418:Y419"/>
    <mergeCell ref="X418:X419"/>
    <mergeCell ref="D417:D427"/>
    <mergeCell ref="E417:E427"/>
    <mergeCell ref="F417:F427"/>
    <mergeCell ref="G418:G419"/>
    <mergeCell ref="H418:H419"/>
    <mergeCell ref="D428:D441"/>
    <mergeCell ref="H429:H430"/>
    <mergeCell ref="L418:L419"/>
    <mergeCell ref="L429:L430"/>
    <mergeCell ref="M429:M430"/>
    <mergeCell ref="T418:T419"/>
    <mergeCell ref="T429:T430"/>
    <mergeCell ref="U418:U419"/>
    <mergeCell ref="U429:U430"/>
    <mergeCell ref="V418:V419"/>
    <mergeCell ref="V429:V430"/>
    <mergeCell ref="N429:N430"/>
    <mergeCell ref="O429:O430"/>
    <mergeCell ref="P418:P419"/>
    <mergeCell ref="P429:P430"/>
    <mergeCell ref="Q429:Q430"/>
    <mergeCell ref="G443:G444"/>
    <mergeCell ref="X446:X447"/>
    <mergeCell ref="Z445:Z457"/>
    <mergeCell ref="Y446:Y447"/>
    <mergeCell ref="G429:G430"/>
    <mergeCell ref="Z428:Z441"/>
    <mergeCell ref="X429:X430"/>
    <mergeCell ref="Y429:Y430"/>
    <mergeCell ref="X443:X444"/>
    <mergeCell ref="Y443:Y444"/>
    <mergeCell ref="K446:K447"/>
    <mergeCell ref="I443:I444"/>
    <mergeCell ref="J443:J444"/>
    <mergeCell ref="K443:K444"/>
    <mergeCell ref="L443:L444"/>
    <mergeCell ref="M443:M444"/>
    <mergeCell ref="L446:L447"/>
    <mergeCell ref="M446:M447"/>
    <mergeCell ref="N446:N447"/>
    <mergeCell ref="O446:O447"/>
    <mergeCell ref="T446:T447"/>
    <mergeCell ref="U446:U447"/>
    <mergeCell ref="V446:V447"/>
    <mergeCell ref="W446:W447"/>
    <mergeCell ref="Z459:Z472"/>
    <mergeCell ref="G460:G461"/>
    <mergeCell ref="H460:H461"/>
    <mergeCell ref="X460:X461"/>
    <mergeCell ref="Y460:Y461"/>
    <mergeCell ref="F459:F472"/>
    <mergeCell ref="I460:I461"/>
    <mergeCell ref="J460:J461"/>
    <mergeCell ref="K460:K461"/>
    <mergeCell ref="L460:L461"/>
    <mergeCell ref="M460:M461"/>
    <mergeCell ref="N460:N461"/>
    <mergeCell ref="O460:O461"/>
    <mergeCell ref="T460:T461"/>
    <mergeCell ref="U460:U461"/>
    <mergeCell ref="V460:V461"/>
    <mergeCell ref="W460:W461"/>
    <mergeCell ref="P460:P461"/>
    <mergeCell ref="Q460:Q461"/>
    <mergeCell ref="R460:R461"/>
    <mergeCell ref="S460:S461"/>
    <mergeCell ref="E459:E472"/>
    <mergeCell ref="E445:E457"/>
    <mergeCell ref="A459:A472"/>
    <mergeCell ref="C459:C472"/>
    <mergeCell ref="D459:D472"/>
    <mergeCell ref="A428:A441"/>
    <mergeCell ref="A445:A457"/>
    <mergeCell ref="A442:A444"/>
    <mergeCell ref="C445:C457"/>
    <mergeCell ref="C428:C441"/>
    <mergeCell ref="D445:D457"/>
    <mergeCell ref="E428:E441"/>
    <mergeCell ref="E395:E405"/>
    <mergeCell ref="E384:E394"/>
    <mergeCell ref="A372:A383"/>
    <mergeCell ref="C372:C383"/>
    <mergeCell ref="D372:D383"/>
    <mergeCell ref="A384:A394"/>
    <mergeCell ref="H7:H8"/>
    <mergeCell ref="I446:I447"/>
    <mergeCell ref="J446:J447"/>
    <mergeCell ref="C384:C394"/>
    <mergeCell ref="D395:D405"/>
    <mergeCell ref="D384:D394"/>
    <mergeCell ref="A395:A405"/>
    <mergeCell ref="C395:C405"/>
    <mergeCell ref="A417:A427"/>
    <mergeCell ref="C417:C427"/>
    <mergeCell ref="E406:E416"/>
    <mergeCell ref="A406:A416"/>
    <mergeCell ref="C406:C416"/>
    <mergeCell ref="D406:D416"/>
    <mergeCell ref="G446:G447"/>
    <mergeCell ref="H446:H447"/>
    <mergeCell ref="F445:F457"/>
    <mergeCell ref="H443:H444"/>
    <mergeCell ref="G385:G386"/>
    <mergeCell ref="H385:H386"/>
    <mergeCell ref="F330:F346"/>
    <mergeCell ref="F139:F150"/>
    <mergeCell ref="H62:H63"/>
    <mergeCell ref="F406:F416"/>
    <mergeCell ref="F428:F441"/>
    <mergeCell ref="F395:F405"/>
    <mergeCell ref="H396:H397"/>
    <mergeCell ref="F384:F394"/>
    <mergeCell ref="H248:H249"/>
    <mergeCell ref="H140:H141"/>
    <mergeCell ref="H137:H138"/>
    <mergeCell ref="G126:G127"/>
    <mergeCell ref="H202:H203"/>
    <mergeCell ref="H262:H263"/>
    <mergeCell ref="G262:G263"/>
    <mergeCell ref="F152:F153"/>
    <mergeCell ref="F261:F271"/>
    <mergeCell ref="H213:H214"/>
    <mergeCell ref="F223:F233"/>
    <mergeCell ref="H191:H192"/>
    <mergeCell ref="F212:F222"/>
    <mergeCell ref="F201:F211"/>
    <mergeCell ref="I7:I8"/>
    <mergeCell ref="J7:J8"/>
    <mergeCell ref="K7:K8"/>
    <mergeCell ref="I32:I33"/>
    <mergeCell ref="J32:J33"/>
    <mergeCell ref="K32:K33"/>
    <mergeCell ref="T7:T8"/>
    <mergeCell ref="T32:T33"/>
    <mergeCell ref="T62:T63"/>
    <mergeCell ref="N7:N8"/>
    <mergeCell ref="O7:O8"/>
    <mergeCell ref="N32:N33"/>
    <mergeCell ref="O32:O33"/>
    <mergeCell ref="R62:R63"/>
    <mergeCell ref="S62:S63"/>
    <mergeCell ref="P62:P63"/>
    <mergeCell ref="N359:N360"/>
    <mergeCell ref="O359:O360"/>
    <mergeCell ref="L1:O1"/>
    <mergeCell ref="L235:L236"/>
    <mergeCell ref="L248:L249"/>
    <mergeCell ref="L262:L263"/>
    <mergeCell ref="L284:L285"/>
    <mergeCell ref="L7:L8"/>
    <mergeCell ref="L32:L33"/>
    <mergeCell ref="L62:L63"/>
    <mergeCell ref="L93:L94"/>
    <mergeCell ref="L104:L105"/>
    <mergeCell ref="L115:L116"/>
    <mergeCell ref="L297:L298"/>
    <mergeCell ref="L331:L332"/>
    <mergeCell ref="L348:L349"/>
    <mergeCell ref="M308:M309"/>
    <mergeCell ref="N308:N309"/>
    <mergeCell ref="M248:M249"/>
    <mergeCell ref="N248:N249"/>
    <mergeCell ref="O248:O249"/>
    <mergeCell ref="M284:M285"/>
    <mergeCell ref="N284:N285"/>
    <mergeCell ref="O284:O285"/>
    <mergeCell ref="T1:W1"/>
    <mergeCell ref="U7:U8"/>
    <mergeCell ref="V7:V8"/>
    <mergeCell ref="W7:W8"/>
    <mergeCell ref="U32:U33"/>
    <mergeCell ref="V32:V33"/>
    <mergeCell ref="W32:W33"/>
    <mergeCell ref="U62:U63"/>
    <mergeCell ref="W62:W63"/>
    <mergeCell ref="V62:V63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P446:P447"/>
    <mergeCell ref="Q446:Q447"/>
    <mergeCell ref="R446:R447"/>
    <mergeCell ref="S446:S447"/>
    <mergeCell ref="T284:T285"/>
    <mergeCell ref="T297:T298"/>
    <mergeCell ref="T308:T309"/>
    <mergeCell ref="T331:T332"/>
    <mergeCell ref="T348:T349"/>
    <mergeCell ref="Q418:Q419"/>
    <mergeCell ref="R418:R419"/>
    <mergeCell ref="S418:S419"/>
    <mergeCell ref="V443:V444"/>
    <mergeCell ref="R443:R444"/>
    <mergeCell ref="S443:S444"/>
    <mergeCell ref="Q348:Q349"/>
    <mergeCell ref="R348:R349"/>
    <mergeCell ref="S348:S349"/>
    <mergeCell ref="P140:P141"/>
    <mergeCell ref="Q140:Q141"/>
    <mergeCell ref="R140:R141"/>
    <mergeCell ref="S140:S141"/>
    <mergeCell ref="P157:P158"/>
    <mergeCell ref="Q157:Q158"/>
    <mergeCell ref="R157:R158"/>
    <mergeCell ref="S157:S158"/>
    <mergeCell ref="P191:P192"/>
    <mergeCell ref="Q262:Q263"/>
    <mergeCell ref="R262:R263"/>
    <mergeCell ref="S262:S263"/>
    <mergeCell ref="U157:U158"/>
    <mergeCell ref="U202:U203"/>
    <mergeCell ref="U235:U236"/>
    <mergeCell ref="U248:U249"/>
    <mergeCell ref="U262:U263"/>
    <mergeCell ref="T262:T263"/>
    <mergeCell ref="W443:W444"/>
    <mergeCell ref="T443:T444"/>
    <mergeCell ref="R429:R430"/>
    <mergeCell ref="S429:S430"/>
    <mergeCell ref="P235:P236"/>
    <mergeCell ref="P248:P249"/>
    <mergeCell ref="Q248:Q249"/>
    <mergeCell ref="R248:R249"/>
    <mergeCell ref="S248:S249"/>
    <mergeCell ref="P262:P263"/>
    <mergeCell ref="Q235:Q236"/>
    <mergeCell ref="R235:R236"/>
    <mergeCell ref="S235:S236"/>
    <mergeCell ref="U443:U444"/>
    <mergeCell ref="P284:P285"/>
    <mergeCell ref="Q284:Q285"/>
    <mergeCell ref="R284:R285"/>
    <mergeCell ref="S284:S285"/>
    <mergeCell ref="T385:T386"/>
    <mergeCell ref="V297:V298"/>
    <mergeCell ref="V308:V309"/>
    <mergeCell ref="P443:P444"/>
    <mergeCell ref="Q443:Q444"/>
    <mergeCell ref="S407:S408"/>
  </mergeCells>
  <phoneticPr fontId="11" type="noConversion"/>
  <pageMargins left="0.43307086614173229" right="0" top="0.39370078740157483" bottom="0.35433070866141736" header="0.47244094488188981" footer="0.27559055118110237"/>
  <pageSetup paperSize="9" fitToHeight="11" orientation="landscape" r:id="rId1"/>
  <headerFooter alignWithMargins="0"/>
  <rowBreaks count="1" manualBreakCount="1">
    <brk id="44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topLeftCell="A10" zoomScaleNormal="100" zoomScaleSheetLayoutView="100" workbookViewId="0">
      <selection activeCell="A62" sqref="A62"/>
    </sheetView>
  </sheetViews>
  <sheetFormatPr defaultRowHeight="12.75"/>
  <cols>
    <col min="1" max="1" width="7.85546875" customWidth="1"/>
    <col min="2" max="2" width="51.85546875" customWidth="1"/>
    <col min="3" max="4" width="14.5703125" customWidth="1"/>
    <col min="5" max="5" width="15.28515625" customWidth="1"/>
    <col min="6" max="6" width="11.85546875" customWidth="1"/>
    <col min="7" max="7" width="12.28515625" hidden="1" customWidth="1"/>
  </cols>
  <sheetData>
    <row r="1" spans="1:7" s="119" customFormat="1" ht="18.75">
      <c r="A1" s="114" t="s">
        <v>168</v>
      </c>
    </row>
    <row r="2" spans="1:7" ht="6" customHeight="1">
      <c r="A2" s="115"/>
    </row>
    <row r="3" spans="1:7" ht="18.75">
      <c r="A3" s="114" t="s">
        <v>169</v>
      </c>
    </row>
    <row r="4" spans="1:7" ht="13.5">
      <c r="A4" s="465" t="s">
        <v>170</v>
      </c>
      <c r="B4" s="463"/>
      <c r="C4" s="463"/>
      <c r="D4" s="463"/>
      <c r="E4" s="463"/>
      <c r="F4" s="463"/>
    </row>
    <row r="5" spans="1:7" ht="15.75">
      <c r="A5" s="117" t="s">
        <v>237</v>
      </c>
    </row>
    <row r="6" spans="1:7" ht="15.75">
      <c r="A6" s="207" t="s">
        <v>225</v>
      </c>
    </row>
    <row r="7" spans="1:7" ht="16.5" customHeight="1">
      <c r="A7" s="462" t="s">
        <v>267</v>
      </c>
      <c r="B7" s="463"/>
      <c r="C7" s="463"/>
      <c r="D7" s="463"/>
      <c r="E7" s="463"/>
      <c r="F7" s="463"/>
      <c r="G7" s="463"/>
    </row>
    <row r="8" spans="1:7" ht="16.5" hidden="1" customHeight="1">
      <c r="A8" s="462" t="s">
        <v>238</v>
      </c>
      <c r="B8" s="463"/>
      <c r="C8" s="463"/>
      <c r="D8" s="463"/>
      <c r="E8" s="463"/>
      <c r="F8" s="463"/>
      <c r="G8" s="275"/>
    </row>
    <row r="9" spans="1:7" ht="16.5" hidden="1" customHeight="1">
      <c r="A9" s="462" t="s">
        <v>239</v>
      </c>
      <c r="B9" s="463"/>
      <c r="C9" s="463"/>
      <c r="D9" s="463"/>
      <c r="E9" s="463"/>
      <c r="F9" s="463"/>
      <c r="G9" s="275"/>
    </row>
    <row r="10" spans="1:7" ht="15.75">
      <c r="A10" s="118"/>
      <c r="B10" s="462"/>
      <c r="C10" s="463"/>
      <c r="D10" s="463"/>
      <c r="E10" s="463"/>
      <c r="F10" s="463"/>
      <c r="G10" s="463"/>
    </row>
    <row r="11" spans="1:7" ht="30" customHeight="1">
      <c r="A11" s="465" t="s">
        <v>171</v>
      </c>
      <c r="B11" s="463"/>
      <c r="C11" s="463"/>
      <c r="D11" s="463"/>
      <c r="E11" s="463"/>
      <c r="F11" s="463"/>
    </row>
    <row r="12" spans="1:7" ht="13.5">
      <c r="A12" s="462" t="s">
        <v>266</v>
      </c>
      <c r="B12" s="463"/>
      <c r="C12" s="463"/>
      <c r="D12" s="463"/>
      <c r="E12" s="463"/>
      <c r="F12" s="463"/>
    </row>
    <row r="13" spans="1:7" ht="13.5">
      <c r="A13" s="462" t="s">
        <v>265</v>
      </c>
      <c r="B13" s="463"/>
      <c r="C13" s="463"/>
      <c r="D13" s="463"/>
      <c r="E13" s="463"/>
      <c r="F13" s="463"/>
    </row>
    <row r="14" spans="1:7" ht="13.5" hidden="1">
      <c r="A14" s="462" t="s">
        <v>240</v>
      </c>
      <c r="B14" s="463"/>
      <c r="C14" s="463"/>
      <c r="D14" s="463"/>
      <c r="E14" s="463"/>
      <c r="F14" s="463"/>
    </row>
    <row r="15" spans="1:7" ht="13.5">
      <c r="A15" s="462" t="s">
        <v>242</v>
      </c>
      <c r="B15" s="463"/>
      <c r="C15" s="463"/>
      <c r="D15" s="463"/>
      <c r="E15" s="463"/>
      <c r="F15" s="463"/>
    </row>
    <row r="16" spans="1:7" ht="13.5" hidden="1">
      <c r="A16" s="462" t="s">
        <v>241</v>
      </c>
      <c r="B16" s="463"/>
      <c r="C16" s="463"/>
      <c r="D16" s="463"/>
      <c r="E16" s="463"/>
      <c r="F16" s="463"/>
    </row>
    <row r="17" spans="1:6" ht="13.5">
      <c r="A17" s="462" t="s">
        <v>254</v>
      </c>
      <c r="B17" s="463"/>
      <c r="C17" s="463"/>
      <c r="D17" s="463"/>
      <c r="E17" s="463"/>
      <c r="F17" s="463"/>
    </row>
    <row r="18" spans="1:6" ht="15.75">
      <c r="A18" s="207"/>
    </row>
    <row r="19" spans="1:6" s="119" customFormat="1" ht="13.5" customHeight="1">
      <c r="A19" s="116" t="s">
        <v>172</v>
      </c>
      <c r="B19" s="116"/>
      <c r="C19" s="116"/>
      <c r="D19" s="116"/>
      <c r="E19" s="116"/>
      <c r="F19" s="116"/>
    </row>
    <row r="20" spans="1:6" ht="30" customHeight="1">
      <c r="A20" s="462" t="s">
        <v>252</v>
      </c>
      <c r="B20" s="463"/>
      <c r="C20" s="463"/>
      <c r="D20" s="463"/>
      <c r="E20" s="463"/>
      <c r="F20" s="463"/>
    </row>
    <row r="21" spans="1:6" ht="30.75" hidden="1" customHeight="1">
      <c r="A21" s="462" t="s">
        <v>243</v>
      </c>
      <c r="B21" s="463"/>
      <c r="C21" s="463"/>
      <c r="D21" s="463"/>
      <c r="E21" s="463"/>
      <c r="F21" s="463"/>
    </row>
    <row r="22" spans="1:6" ht="13.5" hidden="1">
      <c r="A22" s="462" t="s">
        <v>244</v>
      </c>
      <c r="B22" s="463"/>
      <c r="C22" s="463"/>
      <c r="D22" s="463"/>
      <c r="E22" s="463"/>
      <c r="F22" s="463"/>
    </row>
    <row r="23" spans="1:6" ht="13.5">
      <c r="A23" s="462" t="s">
        <v>253</v>
      </c>
      <c r="B23" s="463"/>
      <c r="C23" s="463"/>
      <c r="D23" s="463"/>
      <c r="E23" s="463"/>
      <c r="F23" s="463"/>
    </row>
    <row r="24" spans="1:6" ht="13.5">
      <c r="A24" s="462" t="s">
        <v>263</v>
      </c>
      <c r="B24" s="463"/>
      <c r="C24" s="463"/>
      <c r="D24" s="463"/>
      <c r="E24" s="463"/>
      <c r="F24" s="463"/>
    </row>
    <row r="25" spans="1:6" ht="15.75">
      <c r="A25" s="207" t="s">
        <v>264</v>
      </c>
      <c r="B25" s="210"/>
      <c r="C25" s="210"/>
      <c r="D25" s="210"/>
      <c r="E25" s="210"/>
      <c r="F25" s="210"/>
    </row>
    <row r="26" spans="1:6" ht="15.75" hidden="1">
      <c r="A26" s="116" t="s">
        <v>233</v>
      </c>
      <c r="B26" s="210"/>
      <c r="C26" s="210"/>
      <c r="D26" s="210"/>
      <c r="E26" s="210"/>
      <c r="F26" s="210"/>
    </row>
    <row r="27" spans="1:6" ht="15.75" hidden="1">
      <c r="A27" s="207" t="s">
        <v>245</v>
      </c>
      <c r="B27" s="210"/>
      <c r="C27" s="210"/>
      <c r="D27" s="210"/>
      <c r="E27" s="210"/>
      <c r="F27" s="210"/>
    </row>
    <row r="28" spans="1:6" ht="15.75" hidden="1">
      <c r="A28" s="207" t="s">
        <v>234</v>
      </c>
      <c r="B28" s="210"/>
      <c r="C28" s="210"/>
      <c r="D28" s="210"/>
      <c r="E28" s="210"/>
      <c r="F28" s="210"/>
    </row>
    <row r="29" spans="1:6" ht="28.5" hidden="1" customHeight="1">
      <c r="A29" s="466" t="s">
        <v>217</v>
      </c>
      <c r="B29" s="467"/>
      <c r="C29" s="467"/>
      <c r="D29" s="467"/>
      <c r="E29" s="467"/>
      <c r="F29" s="467"/>
    </row>
    <row r="30" spans="1:6" ht="15.75" hidden="1">
      <c r="A30" s="225" t="s">
        <v>218</v>
      </c>
    </row>
    <row r="31" spans="1:6" ht="15.75" hidden="1">
      <c r="A31" s="225" t="s">
        <v>219</v>
      </c>
    </row>
    <row r="32" spans="1:6" ht="15.75" hidden="1">
      <c r="A32" s="225"/>
    </row>
    <row r="33" spans="1:6" ht="13.5" hidden="1" customHeight="1">
      <c r="A33" s="116" t="s">
        <v>175</v>
      </c>
      <c r="B33" s="116"/>
      <c r="C33" s="116"/>
      <c r="D33" s="116"/>
      <c r="E33" s="116"/>
      <c r="F33" s="116"/>
    </row>
    <row r="34" spans="1:6" ht="13.5" hidden="1">
      <c r="A34" s="462" t="s">
        <v>246</v>
      </c>
      <c r="B34" s="463"/>
      <c r="C34" s="463"/>
      <c r="D34" s="463"/>
      <c r="E34" s="463"/>
      <c r="F34" s="463"/>
    </row>
    <row r="35" spans="1:6" ht="15.75">
      <c r="A35" s="282"/>
      <c r="B35" s="283"/>
      <c r="C35" s="283"/>
      <c r="D35" s="283"/>
      <c r="E35" s="283"/>
      <c r="F35" s="283"/>
    </row>
    <row r="36" spans="1:6" ht="15.75" hidden="1">
      <c r="A36" s="116" t="s">
        <v>256</v>
      </c>
      <c r="B36" s="116"/>
      <c r="C36" s="283"/>
      <c r="D36" s="283"/>
      <c r="E36" s="283"/>
      <c r="F36" s="283"/>
    </row>
    <row r="37" spans="1:6" ht="13.5" hidden="1">
      <c r="A37" s="462" t="s">
        <v>257</v>
      </c>
      <c r="B37" s="463"/>
      <c r="C37" s="463"/>
      <c r="D37" s="463"/>
      <c r="E37" s="463"/>
      <c r="F37" s="463"/>
    </row>
    <row r="38" spans="1:6" ht="13.5" hidden="1">
      <c r="A38" s="462" t="s">
        <v>258</v>
      </c>
      <c r="B38" s="463"/>
      <c r="C38" s="463"/>
      <c r="D38" s="463"/>
      <c r="E38" s="463"/>
      <c r="F38" s="463"/>
    </row>
    <row r="39" spans="1:6" ht="13.5" hidden="1">
      <c r="A39" s="462" t="s">
        <v>259</v>
      </c>
      <c r="B39" s="463"/>
      <c r="C39" s="463"/>
      <c r="D39" s="463"/>
      <c r="E39" s="463"/>
      <c r="F39" s="463"/>
    </row>
    <row r="40" spans="1:6" ht="15.75">
      <c r="A40" s="462"/>
      <c r="B40" s="463"/>
      <c r="C40" s="463"/>
      <c r="D40" s="463"/>
      <c r="E40" s="463"/>
      <c r="F40" s="463"/>
    </row>
    <row r="41" spans="1:6" ht="15.75" hidden="1">
      <c r="A41" s="255" t="s">
        <v>176</v>
      </c>
    </row>
    <row r="42" spans="1:6" ht="30" hidden="1" customHeight="1">
      <c r="A42" s="462" t="s">
        <v>209</v>
      </c>
      <c r="B42" s="463"/>
      <c r="C42" s="463"/>
      <c r="D42" s="463"/>
      <c r="E42" s="463"/>
      <c r="F42" s="463"/>
    </row>
    <row r="43" spans="1:6" ht="17.25" hidden="1" customHeight="1">
      <c r="A43" s="462" t="s">
        <v>211</v>
      </c>
      <c r="B43" s="463"/>
      <c r="C43" s="463"/>
      <c r="D43" s="463"/>
      <c r="E43" s="463"/>
      <c r="F43" s="463"/>
    </row>
    <row r="44" spans="1:6" ht="17.25" hidden="1" customHeight="1">
      <c r="A44" s="462" t="s">
        <v>220</v>
      </c>
      <c r="B44" s="463"/>
      <c r="C44" s="463"/>
      <c r="D44" s="463"/>
      <c r="E44" s="463"/>
      <c r="F44" s="463"/>
    </row>
    <row r="45" spans="1:6" ht="15.75" hidden="1">
      <c r="A45" s="462"/>
      <c r="B45" s="463"/>
      <c r="C45" s="463"/>
      <c r="D45" s="463"/>
      <c r="E45" s="463"/>
      <c r="F45" s="463"/>
    </row>
    <row r="46" spans="1:6" ht="15.75" hidden="1">
      <c r="A46" s="255" t="s">
        <v>207</v>
      </c>
      <c r="B46" s="210"/>
      <c r="C46" s="210"/>
      <c r="D46" s="210"/>
      <c r="E46" s="210"/>
      <c r="F46" s="210"/>
    </row>
    <row r="47" spans="1:6" s="119" customFormat="1" ht="15.75" hidden="1">
      <c r="A47" s="115" t="s">
        <v>208</v>
      </c>
      <c r="B47" s="212"/>
      <c r="C47" s="212"/>
      <c r="D47" s="212"/>
      <c r="E47" s="212"/>
      <c r="F47" s="212"/>
    </row>
    <row r="48" spans="1:6" s="119" customFormat="1" ht="15.75" hidden="1">
      <c r="A48" s="115" t="s">
        <v>212</v>
      </c>
      <c r="B48" s="212"/>
      <c r="C48" s="212"/>
      <c r="D48" s="212"/>
      <c r="E48" s="212"/>
      <c r="F48" s="212"/>
    </row>
    <row r="49" spans="1:6" ht="15.75" hidden="1">
      <c r="A49" s="225" t="s">
        <v>221</v>
      </c>
    </row>
    <row r="50" spans="1:6" ht="38.25" customHeight="1">
      <c r="A50" s="464" t="s">
        <v>173</v>
      </c>
      <c r="B50" s="464"/>
      <c r="C50" s="464"/>
      <c r="D50" s="464"/>
      <c r="E50" s="464"/>
      <c r="F50" s="464"/>
    </row>
    <row r="51" spans="1:6" ht="15.75">
      <c r="A51" s="118"/>
    </row>
    <row r="52" spans="1:6" ht="13.5">
      <c r="A52" s="462" t="s">
        <v>248</v>
      </c>
      <c r="B52" s="463"/>
      <c r="C52" s="463"/>
      <c r="D52" s="463"/>
      <c r="E52" s="463"/>
      <c r="F52" s="463"/>
    </row>
    <row r="53" spans="1:6" ht="16.5" customHeight="1">
      <c r="A53" s="462" t="s">
        <v>261</v>
      </c>
      <c r="B53" s="463"/>
      <c r="C53" s="463"/>
      <c r="D53" s="463"/>
      <c r="E53" s="463"/>
      <c r="F53" s="463"/>
    </row>
    <row r="54" spans="1:6" ht="15.75">
      <c r="A54" s="115" t="s">
        <v>249</v>
      </c>
    </row>
    <row r="55" spans="1:6" ht="15.75">
      <c r="A55" s="115" t="s">
        <v>262</v>
      </c>
    </row>
    <row r="56" spans="1:6" ht="6" customHeight="1">
      <c r="A56" s="115"/>
    </row>
    <row r="57" spans="1:6" ht="4.5" customHeight="1">
      <c r="A57" s="115"/>
    </row>
    <row r="58" spans="1:6" ht="15.75">
      <c r="A58" s="117" t="s">
        <v>202</v>
      </c>
    </row>
    <row r="59" spans="1:6" ht="31.5" customHeight="1">
      <c r="A59" s="462" t="s">
        <v>268</v>
      </c>
      <c r="B59" s="463"/>
      <c r="C59" s="463"/>
      <c r="D59" s="463"/>
      <c r="E59" s="463"/>
      <c r="F59" s="463"/>
    </row>
    <row r="60" spans="1:6" ht="15.75">
      <c r="A60" s="115" t="s">
        <v>250</v>
      </c>
    </row>
    <row r="61" spans="1:6" ht="15.75">
      <c r="A61" s="115" t="s">
        <v>269</v>
      </c>
    </row>
    <row r="62" spans="1:6" ht="15.75">
      <c r="A62" s="115"/>
    </row>
    <row r="63" spans="1:6" ht="35.25" customHeight="1">
      <c r="A63" s="464" t="s">
        <v>174</v>
      </c>
      <c r="B63" s="464"/>
      <c r="C63" s="464"/>
      <c r="D63" s="464"/>
      <c r="E63" s="464"/>
      <c r="F63" s="464"/>
    </row>
    <row r="64" spans="1:6" ht="15.75">
      <c r="A64" s="117" t="s">
        <v>236</v>
      </c>
      <c r="B64" s="119"/>
    </row>
  </sheetData>
  <mergeCells count="32">
    <mergeCell ref="A44:F44"/>
    <mergeCell ref="A7:G7"/>
    <mergeCell ref="A11:F11"/>
    <mergeCell ref="A12:F12"/>
    <mergeCell ref="A42:F42"/>
    <mergeCell ref="A29:F29"/>
    <mergeCell ref="A14:F14"/>
    <mergeCell ref="A8:F8"/>
    <mergeCell ref="A9:F9"/>
    <mergeCell ref="A15:F15"/>
    <mergeCell ref="A16:F16"/>
    <mergeCell ref="A17:F17"/>
    <mergeCell ref="A37:F37"/>
    <mergeCell ref="A38:F38"/>
    <mergeCell ref="A39:F39"/>
    <mergeCell ref="A40:F40"/>
    <mergeCell ref="A59:F59"/>
    <mergeCell ref="A63:F63"/>
    <mergeCell ref="A4:F4"/>
    <mergeCell ref="A23:F23"/>
    <mergeCell ref="A24:F24"/>
    <mergeCell ref="A34:F34"/>
    <mergeCell ref="A50:F50"/>
    <mergeCell ref="A20:F20"/>
    <mergeCell ref="A21:F21"/>
    <mergeCell ref="A22:F22"/>
    <mergeCell ref="B10:G10"/>
    <mergeCell ref="A45:F45"/>
    <mergeCell ref="A43:F43"/>
    <mergeCell ref="A13:F13"/>
    <mergeCell ref="A52:F52"/>
    <mergeCell ref="A53:F53"/>
  </mergeCells>
  <phoneticPr fontId="11" type="noConversion"/>
  <pageMargins left="0.69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orpr-04</cp:lastModifiedBy>
  <cp:lastPrinted>2014-10-30T12:04:25Z</cp:lastPrinted>
  <dcterms:created xsi:type="dcterms:W3CDTF">2007-06-04T05:14:43Z</dcterms:created>
  <dcterms:modified xsi:type="dcterms:W3CDTF">2014-10-30T13:02:37Z</dcterms:modified>
</cp:coreProperties>
</file>