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60" windowWidth="15330" windowHeight="8970" firstSheet="1" activeTab="2"/>
  </bookViews>
  <sheets>
    <sheet name="2011-2014 надбавка к тарифу" sheetId="23" r:id="rId1"/>
    <sheet name="2011-2014 тариф на подключение" sheetId="22" r:id="rId2"/>
    <sheet name="пояснительная записка" sheetId="26" r:id="rId3"/>
  </sheets>
  <definedNames>
    <definedName name="_xlnm.Print_Titles" localSheetId="0">'2011-2014 надбавка к тарифу'!$5:$7</definedName>
    <definedName name="_xlnm.Print_Area" localSheetId="0">'2011-2014 надбавка к тарифу'!$A$1:$Z$172</definedName>
    <definedName name="_xlnm.Print_Area" localSheetId="1">'2011-2014 тариф на подключение'!$A$1:$Z$487</definedName>
    <definedName name="_xlnm.Print_Area" localSheetId="2">'пояснительная записка'!#REF!</definedName>
  </definedNames>
  <calcPr calcId="125725"/>
</workbook>
</file>

<file path=xl/calcChain.xml><?xml version="1.0" encoding="utf-8"?>
<calcChain xmlns="http://schemas.openxmlformats.org/spreadsheetml/2006/main">
  <c r="R38" i="22"/>
  <c r="R15"/>
  <c r="R37"/>
  <c r="R14"/>
  <c r="R137"/>
  <c r="S38"/>
  <c r="S37"/>
  <c r="S15"/>
  <c r="S14"/>
  <c r="S185"/>
  <c r="R185"/>
  <c r="S181"/>
  <c r="R181"/>
  <c r="R177"/>
  <c r="S177"/>
  <c r="S23"/>
  <c r="R23"/>
  <c r="S18"/>
  <c r="R18"/>
  <c r="S48"/>
  <c r="R48"/>
  <c r="S49"/>
  <c r="R49"/>
  <c r="S164"/>
  <c r="R164"/>
  <c r="S240"/>
  <c r="R240"/>
  <c r="S241"/>
  <c r="R241"/>
  <c r="S166"/>
  <c r="R166"/>
  <c r="S168"/>
  <c r="R168"/>
  <c r="S170"/>
  <c r="R170"/>
  <c r="S162"/>
  <c r="R162"/>
  <c r="Q240"/>
  <c r="Q164"/>
  <c r="Q166"/>
  <c r="Q38"/>
  <c r="Q48"/>
  <c r="Q15"/>
  <c r="Q23"/>
  <c r="Q7"/>
  <c r="Q185"/>
  <c r="Q181"/>
  <c r="Q177"/>
  <c r="Q171"/>
  <c r="Q170"/>
  <c r="Q162"/>
  <c r="V440" l="1"/>
  <c r="W440"/>
  <c r="V441"/>
  <c r="W441"/>
  <c r="V439"/>
  <c r="W439"/>
  <c r="V427"/>
  <c r="W427"/>
  <c r="V415"/>
  <c r="W415"/>
  <c r="V416"/>
  <c r="W416"/>
  <c r="V414"/>
  <c r="W414"/>
  <c r="V404"/>
  <c r="W404"/>
  <c r="V405"/>
  <c r="W405"/>
  <c r="V403"/>
  <c r="W403"/>
  <c r="V393"/>
  <c r="W393"/>
  <c r="V394"/>
  <c r="W394"/>
  <c r="V392"/>
  <c r="W392"/>
  <c r="V382"/>
  <c r="W382"/>
  <c r="V383"/>
  <c r="W383"/>
  <c r="V381"/>
  <c r="W381"/>
  <c r="V357"/>
  <c r="W357"/>
  <c r="V345"/>
  <c r="W345"/>
  <c r="V346"/>
  <c r="W346"/>
  <c r="V344"/>
  <c r="W344"/>
  <c r="V334"/>
  <c r="W334"/>
  <c r="V335"/>
  <c r="W335"/>
  <c r="V333"/>
  <c r="W333"/>
  <c r="V312"/>
  <c r="W312"/>
  <c r="V300"/>
  <c r="W300"/>
  <c r="V301"/>
  <c r="W301"/>
  <c r="V299"/>
  <c r="W299"/>
  <c r="V288"/>
  <c r="W288"/>
  <c r="V265"/>
  <c r="W265"/>
  <c r="V266"/>
  <c r="W266"/>
  <c r="V264"/>
  <c r="W264"/>
  <c r="V252"/>
  <c r="W252"/>
  <c r="V239"/>
  <c r="W239"/>
  <c r="V205"/>
  <c r="W205"/>
  <c r="V206"/>
  <c r="W206"/>
  <c r="V204"/>
  <c r="W204"/>
  <c r="V194"/>
  <c r="W194"/>
  <c r="V195"/>
  <c r="W195"/>
  <c r="V193"/>
  <c r="W193"/>
  <c r="V188"/>
  <c r="W188"/>
  <c r="V161"/>
  <c r="W161"/>
  <c r="V137"/>
  <c r="W137"/>
  <c r="V138"/>
  <c r="W138"/>
  <c r="W136"/>
  <c r="V126"/>
  <c r="W126"/>
  <c r="V127"/>
  <c r="W127"/>
  <c r="V125"/>
  <c r="W125"/>
  <c r="V115"/>
  <c r="W115"/>
  <c r="V116"/>
  <c r="W116"/>
  <c r="V114"/>
  <c r="W114"/>
  <c r="V103"/>
  <c r="W103"/>
  <c r="V92"/>
  <c r="W92"/>
  <c r="V63"/>
  <c r="W63"/>
  <c r="V60"/>
  <c r="W60"/>
  <c r="V59"/>
  <c r="W59"/>
  <c r="V33"/>
  <c r="W33"/>
  <c r="V8"/>
  <c r="W8"/>
  <c r="Q169" l="1"/>
  <c r="S238"/>
  <c r="R238"/>
  <c r="R184"/>
  <c r="S184"/>
  <c r="R180"/>
  <c r="S180"/>
  <c r="R172"/>
  <c r="S172"/>
  <c r="R237" l="1"/>
  <c r="V237" s="1"/>
  <c r="V238"/>
  <c r="S237"/>
  <c r="W237" s="1"/>
  <c r="W238"/>
  <c r="Q39"/>
  <c r="Q165"/>
  <c r="R39"/>
  <c r="R165"/>
  <c r="Q160"/>
  <c r="R160" l="1"/>
  <c r="S165"/>
  <c r="S160" s="1"/>
  <c r="R7"/>
  <c r="S7"/>
  <c r="S39"/>
  <c r="S32" s="1"/>
  <c r="U441"/>
  <c r="U440"/>
  <c r="U438"/>
  <c r="U437"/>
  <c r="U436"/>
  <c r="U435"/>
  <c r="U434"/>
  <c r="U433"/>
  <c r="U432"/>
  <c r="U431"/>
  <c r="U430"/>
  <c r="U429"/>
  <c r="U428"/>
  <c r="U427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72"/>
  <c r="U368"/>
  <c r="U367"/>
  <c r="U366"/>
  <c r="U365"/>
  <c r="U364"/>
  <c r="U363"/>
  <c r="U362"/>
  <c r="U361"/>
  <c r="U359"/>
  <c r="U357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21"/>
  <c r="U320"/>
  <c r="U319"/>
  <c r="U318"/>
  <c r="U317"/>
  <c r="U316"/>
  <c r="U315"/>
  <c r="U314"/>
  <c r="U313"/>
  <c r="U312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88"/>
  <c r="U290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4"/>
  <c r="U255"/>
  <c r="U252"/>
  <c r="U249"/>
  <c r="U248"/>
  <c r="U247"/>
  <c r="U246"/>
  <c r="U245"/>
  <c r="U244"/>
  <c r="U243"/>
  <c r="U242"/>
  <c r="U239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0"/>
  <c r="U189"/>
  <c r="U187"/>
  <c r="U183"/>
  <c r="U179"/>
  <c r="U174"/>
  <c r="U163"/>
  <c r="U168"/>
  <c r="U170"/>
  <c r="U137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3"/>
  <c r="U92"/>
  <c r="U94"/>
  <c r="U80"/>
  <c r="U79"/>
  <c r="U77"/>
  <c r="U78"/>
  <c r="U76"/>
  <c r="U75"/>
  <c r="U74"/>
  <c r="U73"/>
  <c r="U55"/>
  <c r="U56"/>
  <c r="U57"/>
  <c r="U58"/>
  <c r="U59"/>
  <c r="U53"/>
  <c r="U40"/>
  <c r="U42"/>
  <c r="U43"/>
  <c r="U44"/>
  <c r="U45"/>
  <c r="U46"/>
  <c r="U47"/>
  <c r="U51"/>
  <c r="U33"/>
  <c r="U28"/>
  <c r="U10"/>
  <c r="U9"/>
  <c r="Q426"/>
  <c r="Q425" s="1"/>
  <c r="T439"/>
  <c r="P439"/>
  <c r="T426"/>
  <c r="T415"/>
  <c r="T404"/>
  <c r="T393"/>
  <c r="T383"/>
  <c r="T382"/>
  <c r="P381"/>
  <c r="T346"/>
  <c r="T345"/>
  <c r="T334"/>
  <c r="T265"/>
  <c r="T266"/>
  <c r="T205"/>
  <c r="T137"/>
  <c r="T126"/>
  <c r="T115"/>
  <c r="T104"/>
  <c r="T93"/>
  <c r="S453"/>
  <c r="S470" s="1"/>
  <c r="R453"/>
  <c r="R470" s="1"/>
  <c r="Q453"/>
  <c r="Q470" s="1"/>
  <c r="P453"/>
  <c r="P470" s="1"/>
  <c r="S452"/>
  <c r="S469" s="1"/>
  <c r="S468" s="1"/>
  <c r="R452"/>
  <c r="R469" s="1"/>
  <c r="R468" s="1"/>
  <c r="Q452"/>
  <c r="Q469" s="1"/>
  <c r="Q468" s="1"/>
  <c r="P452"/>
  <c r="P469" s="1"/>
  <c r="P468" s="1"/>
  <c r="S451"/>
  <c r="R451"/>
  <c r="Q451"/>
  <c r="P451"/>
  <c r="S445"/>
  <c r="R445"/>
  <c r="Q445"/>
  <c r="P445"/>
  <c r="Q439"/>
  <c r="S426"/>
  <c r="R426"/>
  <c r="S425"/>
  <c r="R425"/>
  <c r="P425"/>
  <c r="P414"/>
  <c r="P403"/>
  <c r="S356"/>
  <c r="S355" s="1"/>
  <c r="R356"/>
  <c r="R355" s="1"/>
  <c r="Q356"/>
  <c r="Q355" s="1"/>
  <c r="P344"/>
  <c r="P333"/>
  <c r="S311"/>
  <c r="S310" s="1"/>
  <c r="R311"/>
  <c r="R310" s="1"/>
  <c r="Q311"/>
  <c r="Q310"/>
  <c r="P310"/>
  <c r="P299"/>
  <c r="S287"/>
  <c r="S286" s="1"/>
  <c r="R287"/>
  <c r="R286" s="1"/>
  <c r="Q287"/>
  <c r="Q286" s="1"/>
  <c r="P286"/>
  <c r="P264"/>
  <c r="S251"/>
  <c r="S250" s="1"/>
  <c r="R251"/>
  <c r="R250" s="1"/>
  <c r="Q251"/>
  <c r="Q250" s="1"/>
  <c r="Q238" s="1"/>
  <c r="Q237" s="1"/>
  <c r="U237" s="1"/>
  <c r="P250"/>
  <c r="P237"/>
  <c r="P204"/>
  <c r="T204" s="1"/>
  <c r="P193"/>
  <c r="S188"/>
  <c r="R188"/>
  <c r="Q188"/>
  <c r="P188"/>
  <c r="S450"/>
  <c r="R450"/>
  <c r="Q184"/>
  <c r="Q450" s="1"/>
  <c r="P184"/>
  <c r="P450" s="1"/>
  <c r="S449"/>
  <c r="R449"/>
  <c r="Q180"/>
  <c r="Q449" s="1"/>
  <c r="P180"/>
  <c r="P449" s="1"/>
  <c r="S176"/>
  <c r="S448" s="1"/>
  <c r="R176"/>
  <c r="R448" s="1"/>
  <c r="Q176"/>
  <c r="Q448" s="1"/>
  <c r="P176"/>
  <c r="P448" s="1"/>
  <c r="S175"/>
  <c r="R175"/>
  <c r="Q175"/>
  <c r="P175"/>
  <c r="S173"/>
  <c r="R173"/>
  <c r="Q173"/>
  <c r="P173"/>
  <c r="S159"/>
  <c r="Q159"/>
  <c r="S148"/>
  <c r="R148"/>
  <c r="Q148"/>
  <c r="P148"/>
  <c r="S143"/>
  <c r="S463" s="1"/>
  <c r="S462" s="1"/>
  <c r="R143"/>
  <c r="R463" s="1"/>
  <c r="R462" s="1"/>
  <c r="Q143"/>
  <c r="Q463" s="1"/>
  <c r="Q462" s="1"/>
  <c r="S142"/>
  <c r="R142"/>
  <c r="Q142"/>
  <c r="P140"/>
  <c r="S136"/>
  <c r="R136"/>
  <c r="V136" s="1"/>
  <c r="Q136"/>
  <c r="P136"/>
  <c r="P125"/>
  <c r="P114"/>
  <c r="P103"/>
  <c r="P95"/>
  <c r="P92" s="1"/>
  <c r="S61"/>
  <c r="R61"/>
  <c r="Q61"/>
  <c r="P61"/>
  <c r="S472"/>
  <c r="R472"/>
  <c r="Q472"/>
  <c r="P472"/>
  <c r="S54"/>
  <c r="R54"/>
  <c r="Q54"/>
  <c r="P54"/>
  <c r="P53"/>
  <c r="P143" s="1"/>
  <c r="S52"/>
  <c r="R52"/>
  <c r="Q52"/>
  <c r="P52"/>
  <c r="R32"/>
  <c r="Q32"/>
  <c r="R31"/>
  <c r="Q31"/>
  <c r="P31"/>
  <c r="S26"/>
  <c r="S147" s="1"/>
  <c r="R26"/>
  <c r="R147" s="1"/>
  <c r="Q26"/>
  <c r="Q147" s="1"/>
  <c r="P26"/>
  <c r="P147" s="1"/>
  <c r="S24"/>
  <c r="S146" s="1"/>
  <c r="R24"/>
  <c r="R146" s="1"/>
  <c r="Q24"/>
  <c r="Q146" s="1"/>
  <c r="P24"/>
  <c r="P146" s="1"/>
  <c r="S22"/>
  <c r="S145" s="1"/>
  <c r="S144" s="1"/>
  <c r="R22"/>
  <c r="R145" s="1"/>
  <c r="R144" s="1"/>
  <c r="Q22"/>
  <c r="Q145" s="1"/>
  <c r="Q144" s="1"/>
  <c r="P22"/>
  <c r="P145" s="1"/>
  <c r="P144" s="1"/>
  <c r="S21"/>
  <c r="R21"/>
  <c r="Q21"/>
  <c r="P21"/>
  <c r="S19"/>
  <c r="R19"/>
  <c r="Q19"/>
  <c r="P19"/>
  <c r="Q140"/>
  <c r="Q6"/>
  <c r="T160" i="23"/>
  <c r="T159"/>
  <c r="T145"/>
  <c r="T112"/>
  <c r="T111"/>
  <c r="T101"/>
  <c r="T100"/>
  <c r="T66"/>
  <c r="T65"/>
  <c r="T54"/>
  <c r="T55"/>
  <c r="T56"/>
  <c r="T44"/>
  <c r="P66"/>
  <c r="P54"/>
  <c r="S156"/>
  <c r="R156"/>
  <c r="Q156"/>
  <c r="P156"/>
  <c r="S155"/>
  <c r="S170" s="1"/>
  <c r="R155"/>
  <c r="R170" s="1"/>
  <c r="Q155"/>
  <c r="Q170" s="1"/>
  <c r="P155"/>
  <c r="P170" s="1"/>
  <c r="S154"/>
  <c r="S169" s="1"/>
  <c r="S168" s="1"/>
  <c r="R154"/>
  <c r="R169" s="1"/>
  <c r="R168" s="1"/>
  <c r="Q154"/>
  <c r="Q169" s="1"/>
  <c r="Q168" s="1"/>
  <c r="P154"/>
  <c r="P169" s="1"/>
  <c r="P168" s="1"/>
  <c r="S153"/>
  <c r="R153"/>
  <c r="Q153"/>
  <c r="P153"/>
  <c r="S152"/>
  <c r="S167" s="1"/>
  <c r="R152"/>
  <c r="R167" s="1"/>
  <c r="Q152"/>
  <c r="Q167" s="1"/>
  <c r="P152"/>
  <c r="P167" s="1"/>
  <c r="S151"/>
  <c r="S166" s="1"/>
  <c r="R151"/>
  <c r="R166" s="1"/>
  <c r="Q151"/>
  <c r="Q166" s="1"/>
  <c r="P151"/>
  <c r="P166" s="1"/>
  <c r="S150"/>
  <c r="S165" s="1"/>
  <c r="S164" s="1"/>
  <c r="R150"/>
  <c r="R165" s="1"/>
  <c r="R164" s="1"/>
  <c r="Q150"/>
  <c r="Q165" s="1"/>
  <c r="Q164" s="1"/>
  <c r="P150"/>
  <c r="P165" s="1"/>
  <c r="P164" s="1"/>
  <c r="S149"/>
  <c r="R149"/>
  <c r="Q149"/>
  <c r="P149"/>
  <c r="S148"/>
  <c r="S163" s="1"/>
  <c r="S162" s="1"/>
  <c r="R148"/>
  <c r="R163" s="1"/>
  <c r="R162" s="1"/>
  <c r="Q148"/>
  <c r="Q163" s="1"/>
  <c r="Q162" s="1"/>
  <c r="P148"/>
  <c r="S147"/>
  <c r="R147"/>
  <c r="Q147"/>
  <c r="P147"/>
  <c r="S145"/>
  <c r="S160" s="1"/>
  <c r="S159" s="1"/>
  <c r="R145"/>
  <c r="R160" s="1"/>
  <c r="R159" s="1"/>
  <c r="Q145"/>
  <c r="Q160" s="1"/>
  <c r="Q159" s="1"/>
  <c r="P145"/>
  <c r="S144"/>
  <c r="R144"/>
  <c r="Q144"/>
  <c r="P144"/>
  <c r="P133"/>
  <c r="P111"/>
  <c r="P100"/>
  <c r="P89"/>
  <c r="P73"/>
  <c r="P72"/>
  <c r="P71"/>
  <c r="P70"/>
  <c r="P69"/>
  <c r="P163" s="1"/>
  <c r="P162" s="1"/>
  <c r="P65"/>
  <c r="P43"/>
  <c r="P32"/>
  <c r="P10"/>
  <c r="W170"/>
  <c r="V170"/>
  <c r="U170"/>
  <c r="W169"/>
  <c r="V169"/>
  <c r="U169"/>
  <c r="W168"/>
  <c r="V168"/>
  <c r="U168"/>
  <c r="W167"/>
  <c r="V167"/>
  <c r="U167"/>
  <c r="W166"/>
  <c r="V166"/>
  <c r="U166"/>
  <c r="W165"/>
  <c r="V165"/>
  <c r="U165"/>
  <c r="W164"/>
  <c r="V164"/>
  <c r="U164"/>
  <c r="W163"/>
  <c r="V163"/>
  <c r="U163"/>
  <c r="W162"/>
  <c r="V162"/>
  <c r="U162"/>
  <c r="W160"/>
  <c r="V160"/>
  <c r="U160"/>
  <c r="W159"/>
  <c r="V159"/>
  <c r="U159"/>
  <c r="N160"/>
  <c r="T161"/>
  <c r="T162"/>
  <c r="T163"/>
  <c r="T164"/>
  <c r="T165"/>
  <c r="T166"/>
  <c r="T167"/>
  <c r="T168"/>
  <c r="T169"/>
  <c r="T170"/>
  <c r="T133"/>
  <c r="L160"/>
  <c r="O160"/>
  <c r="M163"/>
  <c r="M162" s="1"/>
  <c r="M165"/>
  <c r="M164" s="1"/>
  <c r="M166"/>
  <c r="M167"/>
  <c r="M169"/>
  <c r="M168" s="1"/>
  <c r="N169"/>
  <c r="N168" s="1"/>
  <c r="M170"/>
  <c r="N170"/>
  <c r="T156"/>
  <c r="T155"/>
  <c r="T154"/>
  <c r="T153"/>
  <c r="L145"/>
  <c r="L144"/>
  <c r="T134"/>
  <c r="T135"/>
  <c r="T136"/>
  <c r="T137"/>
  <c r="T148" s="1"/>
  <c r="T147" s="1"/>
  <c r="T138"/>
  <c r="T139"/>
  <c r="T140"/>
  <c r="T141"/>
  <c r="T142"/>
  <c r="T14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03"/>
  <c r="T104"/>
  <c r="T105"/>
  <c r="T106"/>
  <c r="T150" s="1"/>
  <c r="T107"/>
  <c r="T151" s="1"/>
  <c r="T108"/>
  <c r="T152" s="1"/>
  <c r="T109"/>
  <c r="T110"/>
  <c r="T90"/>
  <c r="T91"/>
  <c r="T92"/>
  <c r="T93"/>
  <c r="T94"/>
  <c r="T95"/>
  <c r="T96"/>
  <c r="T97"/>
  <c r="T98"/>
  <c r="T99"/>
  <c r="T89"/>
  <c r="T73"/>
  <c r="T72"/>
  <c r="T71"/>
  <c r="T70"/>
  <c r="T69"/>
  <c r="L66"/>
  <c r="T57"/>
  <c r="T58"/>
  <c r="T59"/>
  <c r="T60"/>
  <c r="T61"/>
  <c r="T62"/>
  <c r="T63"/>
  <c r="T64"/>
  <c r="T48"/>
  <c r="T49"/>
  <c r="T50"/>
  <c r="T51"/>
  <c r="T52"/>
  <c r="T53"/>
  <c r="T43"/>
  <c r="T45"/>
  <c r="T46"/>
  <c r="T47"/>
  <c r="T33"/>
  <c r="T34"/>
  <c r="T35"/>
  <c r="T36"/>
  <c r="T37"/>
  <c r="T38"/>
  <c r="T39"/>
  <c r="T40"/>
  <c r="T41"/>
  <c r="T4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W156"/>
  <c r="V156"/>
  <c r="U156"/>
  <c r="W155"/>
  <c r="V155"/>
  <c r="U155"/>
  <c r="W154"/>
  <c r="V154"/>
  <c r="U154"/>
  <c r="W153"/>
  <c r="V153"/>
  <c r="U153"/>
  <c r="W152"/>
  <c r="V152"/>
  <c r="U152"/>
  <c r="W151"/>
  <c r="V151"/>
  <c r="U151"/>
  <c r="W150"/>
  <c r="V150"/>
  <c r="U150"/>
  <c r="W149"/>
  <c r="V149"/>
  <c r="U149"/>
  <c r="W148"/>
  <c r="V148"/>
  <c r="U148"/>
  <c r="W147"/>
  <c r="V147"/>
  <c r="U147"/>
  <c r="W145"/>
  <c r="V145"/>
  <c r="U145"/>
  <c r="W144"/>
  <c r="V144"/>
  <c r="U144"/>
  <c r="N145"/>
  <c r="O145"/>
  <c r="N148"/>
  <c r="N147" s="1"/>
  <c r="O148"/>
  <c r="O147" s="1"/>
  <c r="N150"/>
  <c r="O150"/>
  <c r="N151"/>
  <c r="N166" s="1"/>
  <c r="O151"/>
  <c r="O166" s="1"/>
  <c r="N152"/>
  <c r="N167" s="1"/>
  <c r="O152"/>
  <c r="O167" s="1"/>
  <c r="N154"/>
  <c r="N153" s="1"/>
  <c r="O154"/>
  <c r="N155"/>
  <c r="O155"/>
  <c r="O170" s="1"/>
  <c r="N156"/>
  <c r="O156"/>
  <c r="M156"/>
  <c r="M155"/>
  <c r="M154"/>
  <c r="M153"/>
  <c r="M152"/>
  <c r="M151"/>
  <c r="M150"/>
  <c r="M149"/>
  <c r="M148"/>
  <c r="M147"/>
  <c r="M145"/>
  <c r="M160" s="1"/>
  <c r="M144"/>
  <c r="N60" i="22"/>
  <c r="M17"/>
  <c r="U17" s="1"/>
  <c r="L286"/>
  <c r="P6" l="1"/>
  <c r="R6"/>
  <c r="S6"/>
  <c r="P159"/>
  <c r="S31"/>
  <c r="R159"/>
  <c r="U238"/>
  <c r="R140"/>
  <c r="S140"/>
  <c r="Q443"/>
  <c r="Q460" s="1"/>
  <c r="R443"/>
  <c r="S443"/>
  <c r="P463"/>
  <c r="P462" s="1"/>
  <c r="P142"/>
  <c r="P465"/>
  <c r="P447"/>
  <c r="Q465"/>
  <c r="Q447"/>
  <c r="R465"/>
  <c r="R447"/>
  <c r="S465"/>
  <c r="S447"/>
  <c r="P466"/>
  <c r="Q466"/>
  <c r="R466"/>
  <c r="S466"/>
  <c r="P467"/>
  <c r="Q467"/>
  <c r="R467"/>
  <c r="S467"/>
  <c r="P150"/>
  <c r="Q150"/>
  <c r="Q139" s="1"/>
  <c r="R150"/>
  <c r="S150"/>
  <c r="P160" i="23"/>
  <c r="P159"/>
  <c r="O149"/>
  <c r="N149"/>
  <c r="O165"/>
  <c r="O164" s="1"/>
  <c r="N165"/>
  <c r="N164" s="1"/>
  <c r="O163"/>
  <c r="O162" s="1"/>
  <c r="N163"/>
  <c r="N162" s="1"/>
  <c r="N159" s="1"/>
  <c r="T149"/>
  <c r="T144" s="1"/>
  <c r="O153"/>
  <c r="O169"/>
  <c r="O168" s="1"/>
  <c r="O159"/>
  <c r="M159"/>
  <c r="O144"/>
  <c r="N144"/>
  <c r="N38" i="22"/>
  <c r="N137"/>
  <c r="M15"/>
  <c r="U15" s="1"/>
  <c r="N39"/>
  <c r="O39"/>
  <c r="R460" l="1"/>
  <c r="R139"/>
  <c r="R442"/>
  <c r="S442"/>
  <c r="Q442"/>
  <c r="S460"/>
  <c r="S139"/>
  <c r="S464"/>
  <c r="R464"/>
  <c r="R459" s="1"/>
  <c r="Q464"/>
  <c r="Q459" s="1"/>
  <c r="P464"/>
  <c r="P139"/>
  <c r="N165"/>
  <c r="S459" l="1"/>
  <c r="O429"/>
  <c r="N429"/>
  <c r="M41" l="1"/>
  <c r="M60"/>
  <c r="N15"/>
  <c r="N37"/>
  <c r="N14"/>
  <c r="O37"/>
  <c r="O38"/>
  <c r="O14"/>
  <c r="O15"/>
  <c r="O165"/>
  <c r="O162"/>
  <c r="N162"/>
  <c r="O41"/>
  <c r="N41"/>
  <c r="O166"/>
  <c r="N166"/>
  <c r="O164"/>
  <c r="N164"/>
  <c r="N23"/>
  <c r="O16"/>
  <c r="N16"/>
  <c r="M162"/>
  <c r="O185"/>
  <c r="N185"/>
  <c r="O181"/>
  <c r="N181"/>
  <c r="O177"/>
  <c r="N177"/>
  <c r="O289"/>
  <c r="N289"/>
  <c r="O290"/>
  <c r="N290"/>
  <c r="O430"/>
  <c r="N430"/>
  <c r="O426"/>
  <c r="N426"/>
  <c r="M150" l="1"/>
  <c r="U60"/>
  <c r="O23"/>
  <c r="M165" l="1"/>
  <c r="M39"/>
  <c r="U39" s="1"/>
  <c r="M166"/>
  <c r="M177"/>
  <c r="M181"/>
  <c r="M185"/>
  <c r="M184" s="1"/>
  <c r="M16"/>
  <c r="M7"/>
  <c r="M23"/>
  <c r="M38"/>
  <c r="U38" l="1"/>
  <c r="M32"/>
  <c r="M31" s="1"/>
  <c r="M164"/>
  <c r="U164" s="1"/>
  <c r="M171"/>
  <c r="U171" s="1"/>
  <c r="M289"/>
  <c r="U289" s="1"/>
  <c r="N287"/>
  <c r="O287"/>
  <c r="M287"/>
  <c r="O60"/>
  <c r="N27"/>
  <c r="O27"/>
  <c r="O286" l="1"/>
  <c r="W286" s="1"/>
  <c r="W287"/>
  <c r="N286"/>
  <c r="V286" s="1"/>
  <c r="V287"/>
  <c r="M286"/>
  <c r="U286" s="1"/>
  <c r="U287"/>
  <c r="M160"/>
  <c r="N253"/>
  <c r="N358"/>
  <c r="N425" l="1"/>
  <c r="O425"/>
  <c r="O358"/>
  <c r="O311"/>
  <c r="O310" s="1"/>
  <c r="N311"/>
  <c r="N310" s="1"/>
  <c r="M311"/>
  <c r="O253"/>
  <c r="N251"/>
  <c r="O251"/>
  <c r="N178"/>
  <c r="N182"/>
  <c r="O182"/>
  <c r="O178"/>
  <c r="O28"/>
  <c r="O250" l="1"/>
  <c r="W250" s="1"/>
  <c r="W251"/>
  <c r="N250"/>
  <c r="V250" s="1"/>
  <c r="V251"/>
  <c r="M426"/>
  <c r="M358"/>
  <c r="U358" s="1"/>
  <c r="M425" l="1"/>
  <c r="U426"/>
  <c r="M253"/>
  <c r="M182"/>
  <c r="M180" s="1"/>
  <c r="M178"/>
  <c r="M176" s="1"/>
  <c r="M251" l="1"/>
  <c r="U251" s="1"/>
  <c r="U253"/>
  <c r="M250"/>
  <c r="U250" s="1"/>
  <c r="M310"/>
  <c r="L310"/>
  <c r="O360" l="1"/>
  <c r="N360"/>
  <c r="N356" s="1"/>
  <c r="O47"/>
  <c r="N47"/>
  <c r="N32" s="1"/>
  <c r="N7" l="1"/>
  <c r="M360"/>
  <c r="U360" s="1"/>
  <c r="M27"/>
  <c r="M26" s="1"/>
  <c r="N160"/>
  <c r="M136"/>
  <c r="N136"/>
  <c r="O136"/>
  <c r="O160"/>
  <c r="O356"/>
  <c r="O355" s="1"/>
  <c r="N355"/>
  <c r="M188"/>
  <c r="N188"/>
  <c r="O188"/>
  <c r="N184"/>
  <c r="O184"/>
  <c r="N180"/>
  <c r="O180"/>
  <c r="N176"/>
  <c r="O176"/>
  <c r="H173"/>
  <c r="I173"/>
  <c r="J173"/>
  <c r="K173"/>
  <c r="L173"/>
  <c r="M173"/>
  <c r="N173"/>
  <c r="O173"/>
  <c r="M61"/>
  <c r="N61"/>
  <c r="O61"/>
  <c r="H19"/>
  <c r="I19"/>
  <c r="J19"/>
  <c r="K19"/>
  <c r="L19"/>
  <c r="M19"/>
  <c r="N19"/>
  <c r="O19"/>
  <c r="M54"/>
  <c r="U54" s="1"/>
  <c r="N54"/>
  <c r="O54"/>
  <c r="M52"/>
  <c r="U52" s="1"/>
  <c r="N52"/>
  <c r="N31" s="1"/>
  <c r="O52"/>
  <c r="O32"/>
  <c r="O31" s="1"/>
  <c r="U19" l="1"/>
  <c r="U173"/>
  <c r="M140"/>
  <c r="O175"/>
  <c r="N175"/>
  <c r="N159" s="1"/>
  <c r="O159"/>
  <c r="N26"/>
  <c r="O26"/>
  <c r="N24"/>
  <c r="O24"/>
  <c r="N22"/>
  <c r="N21" s="1"/>
  <c r="N6" s="1"/>
  <c r="O22"/>
  <c r="O21" s="1"/>
  <c r="O7"/>
  <c r="O6" l="1"/>
  <c r="M356"/>
  <c r="M443" s="1"/>
  <c r="I356"/>
  <c r="M175"/>
  <c r="M159" s="1"/>
  <c r="L22"/>
  <c r="M22"/>
  <c r="L24"/>
  <c r="M24"/>
  <c r="L26"/>
  <c r="W445"/>
  <c r="W438"/>
  <c r="W437"/>
  <c r="W436"/>
  <c r="W435"/>
  <c r="W434"/>
  <c r="W433"/>
  <c r="W432"/>
  <c r="W431"/>
  <c r="W428"/>
  <c r="W424"/>
  <c r="W423"/>
  <c r="W422"/>
  <c r="W421"/>
  <c r="W420"/>
  <c r="W419"/>
  <c r="W418"/>
  <c r="W417"/>
  <c r="W413"/>
  <c r="W412"/>
  <c r="W411"/>
  <c r="W410"/>
  <c r="W409"/>
  <c r="W408"/>
  <c r="W407"/>
  <c r="W406"/>
  <c r="W402"/>
  <c r="W401"/>
  <c r="W400"/>
  <c r="W399"/>
  <c r="W398"/>
  <c r="W397"/>
  <c r="W396"/>
  <c r="W395"/>
  <c r="W391"/>
  <c r="W390"/>
  <c r="W389"/>
  <c r="W388"/>
  <c r="W387"/>
  <c r="W386"/>
  <c r="W385"/>
  <c r="W384"/>
  <c r="W380"/>
  <c r="W379"/>
  <c r="W378"/>
  <c r="W377"/>
  <c r="W376"/>
  <c r="W375"/>
  <c r="W374"/>
  <c r="W373"/>
  <c r="W368"/>
  <c r="W367"/>
  <c r="W366"/>
  <c r="W365"/>
  <c r="W364"/>
  <c r="W363"/>
  <c r="W362"/>
  <c r="W361"/>
  <c r="W360"/>
  <c r="W358"/>
  <c r="W354"/>
  <c r="W353"/>
  <c r="W352"/>
  <c r="W351"/>
  <c r="W350"/>
  <c r="W349"/>
  <c r="W348"/>
  <c r="W347"/>
  <c r="W343"/>
  <c r="W342"/>
  <c r="W341"/>
  <c r="W340"/>
  <c r="W339"/>
  <c r="W338"/>
  <c r="W337"/>
  <c r="W336"/>
  <c r="W321"/>
  <c r="W320"/>
  <c r="W319"/>
  <c r="W318"/>
  <c r="W317"/>
  <c r="W316"/>
  <c r="W315"/>
  <c r="W314"/>
  <c r="W313"/>
  <c r="W309"/>
  <c r="W308"/>
  <c r="W307"/>
  <c r="W306"/>
  <c r="W305"/>
  <c r="W304"/>
  <c r="W303"/>
  <c r="W302"/>
  <c r="W298"/>
  <c r="W297"/>
  <c r="W296"/>
  <c r="W295"/>
  <c r="W294"/>
  <c r="W293"/>
  <c r="W292"/>
  <c r="W291"/>
  <c r="W274"/>
  <c r="W273"/>
  <c r="W272"/>
  <c r="W271"/>
  <c r="W270"/>
  <c r="W269"/>
  <c r="W268"/>
  <c r="W267"/>
  <c r="W263"/>
  <c r="W262"/>
  <c r="W261"/>
  <c r="W260"/>
  <c r="W259"/>
  <c r="W258"/>
  <c r="W257"/>
  <c r="W256"/>
  <c r="W249"/>
  <c r="W248"/>
  <c r="W247"/>
  <c r="W246"/>
  <c r="W245"/>
  <c r="W244"/>
  <c r="W243"/>
  <c r="W242"/>
  <c r="W214"/>
  <c r="W213"/>
  <c r="W212"/>
  <c r="W211"/>
  <c r="W210"/>
  <c r="W209"/>
  <c r="W208"/>
  <c r="W207"/>
  <c r="W203"/>
  <c r="W202"/>
  <c r="W201"/>
  <c r="W200"/>
  <c r="W199"/>
  <c r="W198"/>
  <c r="W197"/>
  <c r="W196"/>
  <c r="W192"/>
  <c r="W191"/>
  <c r="W190"/>
  <c r="W453" s="1"/>
  <c r="W470" s="1"/>
  <c r="W189"/>
  <c r="W452" s="1"/>
  <c r="W187"/>
  <c r="W179"/>
  <c r="W174"/>
  <c r="W173"/>
  <c r="V445"/>
  <c r="V438"/>
  <c r="V437"/>
  <c r="V436"/>
  <c r="V435"/>
  <c r="V434"/>
  <c r="V433"/>
  <c r="V432"/>
  <c r="V431"/>
  <c r="V428"/>
  <c r="V424"/>
  <c r="V423"/>
  <c r="V422"/>
  <c r="V421"/>
  <c r="V420"/>
  <c r="V419"/>
  <c r="V418"/>
  <c r="V417"/>
  <c r="V413"/>
  <c r="V412"/>
  <c r="V411"/>
  <c r="V410"/>
  <c r="V409"/>
  <c r="V408"/>
  <c r="V407"/>
  <c r="V406"/>
  <c r="V402"/>
  <c r="V401"/>
  <c r="V400"/>
  <c r="V399"/>
  <c r="V398"/>
  <c r="V397"/>
  <c r="V396"/>
  <c r="V395"/>
  <c r="V391"/>
  <c r="V390"/>
  <c r="V389"/>
  <c r="V388"/>
  <c r="V387"/>
  <c r="V386"/>
  <c r="V385"/>
  <c r="V384"/>
  <c r="V380"/>
  <c r="V379"/>
  <c r="V378"/>
  <c r="V377"/>
  <c r="V376"/>
  <c r="V375"/>
  <c r="V374"/>
  <c r="V373"/>
  <c r="V368"/>
  <c r="V367"/>
  <c r="V366"/>
  <c r="V365"/>
  <c r="V364"/>
  <c r="V363"/>
  <c r="V362"/>
  <c r="V361"/>
  <c r="V360"/>
  <c r="V358"/>
  <c r="V354"/>
  <c r="V353"/>
  <c r="V352"/>
  <c r="V351"/>
  <c r="V350"/>
  <c r="V349"/>
  <c r="V348"/>
  <c r="V347"/>
  <c r="V343"/>
  <c r="V342"/>
  <c r="V341"/>
  <c r="V340"/>
  <c r="V339"/>
  <c r="V338"/>
  <c r="V337"/>
  <c r="V336"/>
  <c r="V321"/>
  <c r="V320"/>
  <c r="V319"/>
  <c r="V318"/>
  <c r="V317"/>
  <c r="V316"/>
  <c r="V315"/>
  <c r="V314"/>
  <c r="V313"/>
  <c r="V309"/>
  <c r="V308"/>
  <c r="V307"/>
  <c r="V306"/>
  <c r="V305"/>
  <c r="V304"/>
  <c r="V303"/>
  <c r="V302"/>
  <c r="V298"/>
  <c r="V297"/>
  <c r="V296"/>
  <c r="V295"/>
  <c r="V294"/>
  <c r="V293"/>
  <c r="V292"/>
  <c r="V291"/>
  <c r="V274"/>
  <c r="V273"/>
  <c r="V272"/>
  <c r="V271"/>
  <c r="V270"/>
  <c r="V269"/>
  <c r="V268"/>
  <c r="V267"/>
  <c r="V263"/>
  <c r="V262"/>
  <c r="V261"/>
  <c r="V260"/>
  <c r="V259"/>
  <c r="V258"/>
  <c r="V257"/>
  <c r="V256"/>
  <c r="V249"/>
  <c r="V248"/>
  <c r="V247"/>
  <c r="V246"/>
  <c r="V245"/>
  <c r="V244"/>
  <c r="V243"/>
  <c r="V242"/>
  <c r="V214"/>
  <c r="V213"/>
  <c r="V212"/>
  <c r="V211"/>
  <c r="V210"/>
  <c r="V209"/>
  <c r="V208"/>
  <c r="V207"/>
  <c r="V203"/>
  <c r="V202"/>
  <c r="V201"/>
  <c r="V200"/>
  <c r="V199"/>
  <c r="V198"/>
  <c r="V197"/>
  <c r="V196"/>
  <c r="V192"/>
  <c r="V191"/>
  <c r="V190"/>
  <c r="V453" s="1"/>
  <c r="V470" s="1"/>
  <c r="V189"/>
  <c r="V452" s="1"/>
  <c r="V187"/>
  <c r="V179"/>
  <c r="V174"/>
  <c r="V173"/>
  <c r="U445"/>
  <c r="U380"/>
  <c r="U379"/>
  <c r="U378"/>
  <c r="U377"/>
  <c r="U376"/>
  <c r="U375"/>
  <c r="U374"/>
  <c r="U373"/>
  <c r="U453"/>
  <c r="U470" s="1"/>
  <c r="U452"/>
  <c r="U161"/>
  <c r="T438"/>
  <c r="T436"/>
  <c r="T433"/>
  <c r="T432"/>
  <c r="T431"/>
  <c r="T437"/>
  <c r="T435"/>
  <c r="T434"/>
  <c r="T428"/>
  <c r="T427"/>
  <c r="T424"/>
  <c r="T423"/>
  <c r="T422"/>
  <c r="T421"/>
  <c r="T420"/>
  <c r="T419"/>
  <c r="T418"/>
  <c r="T417"/>
  <c r="T416"/>
  <c r="T413"/>
  <c r="T412"/>
  <c r="T411"/>
  <c r="T410"/>
  <c r="T409"/>
  <c r="T408"/>
  <c r="T407"/>
  <c r="T406"/>
  <c r="T405"/>
  <c r="G404"/>
  <c r="H392"/>
  <c r="L394"/>
  <c r="P394" s="1"/>
  <c r="L393"/>
  <c r="T402"/>
  <c r="T401"/>
  <c r="T400"/>
  <c r="T399"/>
  <c r="T398"/>
  <c r="T397"/>
  <c r="T396"/>
  <c r="T395"/>
  <c r="T394"/>
  <c r="T391"/>
  <c r="T390"/>
  <c r="T389"/>
  <c r="T388"/>
  <c r="T387"/>
  <c r="T386"/>
  <c r="T385"/>
  <c r="T384"/>
  <c r="T374"/>
  <c r="T375"/>
  <c r="T378"/>
  <c r="T380"/>
  <c r="T379"/>
  <c r="T377"/>
  <c r="T376"/>
  <c r="T373"/>
  <c r="T372"/>
  <c r="T371"/>
  <c r="T370"/>
  <c r="G370"/>
  <c r="G356"/>
  <c r="T368"/>
  <c r="T367"/>
  <c r="T365"/>
  <c r="T366"/>
  <c r="T363"/>
  <c r="T364"/>
  <c r="T362"/>
  <c r="T361"/>
  <c r="T360"/>
  <c r="T358"/>
  <c r="T357"/>
  <c r="T356"/>
  <c r="T354"/>
  <c r="T353"/>
  <c r="T352"/>
  <c r="T351"/>
  <c r="T350"/>
  <c r="T349"/>
  <c r="T348"/>
  <c r="T347"/>
  <c r="T343"/>
  <c r="T342"/>
  <c r="T341"/>
  <c r="T340"/>
  <c r="T339"/>
  <c r="T338"/>
  <c r="T337"/>
  <c r="T336"/>
  <c r="T335"/>
  <c r="T321"/>
  <c r="T320"/>
  <c r="T319"/>
  <c r="T318"/>
  <c r="T317"/>
  <c r="T316"/>
  <c r="T315"/>
  <c r="T314"/>
  <c r="T313"/>
  <c r="T312"/>
  <c r="T311"/>
  <c r="T309"/>
  <c r="T308"/>
  <c r="T307"/>
  <c r="T306"/>
  <c r="T305"/>
  <c r="T304"/>
  <c r="T303"/>
  <c r="T302"/>
  <c r="T301"/>
  <c r="T300"/>
  <c r="T298"/>
  <c r="T297"/>
  <c r="T296"/>
  <c r="T295"/>
  <c r="T294"/>
  <c r="T293"/>
  <c r="T292"/>
  <c r="T291"/>
  <c r="T288"/>
  <c r="T287"/>
  <c r="T274"/>
  <c r="T273"/>
  <c r="T272"/>
  <c r="T271"/>
  <c r="T270"/>
  <c r="T269"/>
  <c r="T268"/>
  <c r="T267"/>
  <c r="T263"/>
  <c r="T262"/>
  <c r="T261"/>
  <c r="T260"/>
  <c r="T259"/>
  <c r="T258"/>
  <c r="T257"/>
  <c r="T256"/>
  <c r="T252"/>
  <c r="T251"/>
  <c r="H188"/>
  <c r="G193"/>
  <c r="G237"/>
  <c r="T249"/>
  <c r="T248"/>
  <c r="T247"/>
  <c r="T246"/>
  <c r="T245"/>
  <c r="T244"/>
  <c r="T243"/>
  <c r="T242"/>
  <c r="T239"/>
  <c r="T238"/>
  <c r="L204"/>
  <c r="T214"/>
  <c r="T213"/>
  <c r="T212"/>
  <c r="T211"/>
  <c r="T210"/>
  <c r="T209"/>
  <c r="T208"/>
  <c r="T207"/>
  <c r="T206"/>
  <c r="T203"/>
  <c r="T202"/>
  <c r="T201"/>
  <c r="T200"/>
  <c r="T199"/>
  <c r="T198"/>
  <c r="T197"/>
  <c r="T196"/>
  <c r="T195"/>
  <c r="T194"/>
  <c r="T174"/>
  <c r="T177"/>
  <c r="T178"/>
  <c r="T179"/>
  <c r="T181"/>
  <c r="T182"/>
  <c r="T185"/>
  <c r="T186"/>
  <c r="T187"/>
  <c r="T189"/>
  <c r="T190"/>
  <c r="T191"/>
  <c r="T192"/>
  <c r="T173"/>
  <c r="T161"/>
  <c r="T160"/>
  <c r="U8"/>
  <c r="V9"/>
  <c r="W9"/>
  <c r="V11"/>
  <c r="W11"/>
  <c r="V12"/>
  <c r="W12"/>
  <c r="V13"/>
  <c r="W13"/>
  <c r="V14"/>
  <c r="W14"/>
  <c r="V17"/>
  <c r="W17"/>
  <c r="V19"/>
  <c r="W19"/>
  <c r="U20"/>
  <c r="V20"/>
  <c r="W20"/>
  <c r="V28"/>
  <c r="W28"/>
  <c r="U29"/>
  <c r="V29"/>
  <c r="W29"/>
  <c r="U30"/>
  <c r="V30"/>
  <c r="W30"/>
  <c r="V34"/>
  <c r="W34"/>
  <c r="V35"/>
  <c r="W35"/>
  <c r="V36"/>
  <c r="W36"/>
  <c r="V37"/>
  <c r="W37"/>
  <c r="V39"/>
  <c r="W39"/>
  <c r="V40"/>
  <c r="W40"/>
  <c r="V44"/>
  <c r="W44"/>
  <c r="V46"/>
  <c r="W46"/>
  <c r="V51"/>
  <c r="W51"/>
  <c r="V52"/>
  <c r="W52"/>
  <c r="V53"/>
  <c r="W53"/>
  <c r="V54"/>
  <c r="W54"/>
  <c r="V55"/>
  <c r="W55"/>
  <c r="V56"/>
  <c r="W56"/>
  <c r="V57"/>
  <c r="W57"/>
  <c r="V58"/>
  <c r="W58"/>
  <c r="U472"/>
  <c r="V472"/>
  <c r="W472"/>
  <c r="U63"/>
  <c r="V73"/>
  <c r="W73"/>
  <c r="V74"/>
  <c r="W74"/>
  <c r="V75"/>
  <c r="W75"/>
  <c r="V76"/>
  <c r="W76"/>
  <c r="V77"/>
  <c r="W77"/>
  <c r="V78"/>
  <c r="W78"/>
  <c r="V79"/>
  <c r="W79"/>
  <c r="V80"/>
  <c r="W80"/>
  <c r="U81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V93"/>
  <c r="W93"/>
  <c r="V94"/>
  <c r="W94"/>
  <c r="V95"/>
  <c r="W95"/>
  <c r="V96"/>
  <c r="W96"/>
  <c r="V97"/>
  <c r="W97"/>
  <c r="V98"/>
  <c r="W98"/>
  <c r="V99"/>
  <c r="W99"/>
  <c r="V100"/>
  <c r="W100"/>
  <c r="V101"/>
  <c r="W101"/>
  <c r="V102"/>
  <c r="W102"/>
  <c r="V104"/>
  <c r="W104"/>
  <c r="V105"/>
  <c r="W105"/>
  <c r="V106"/>
  <c r="W106"/>
  <c r="V107"/>
  <c r="W107"/>
  <c r="V108"/>
  <c r="W108"/>
  <c r="V109"/>
  <c r="W109"/>
  <c r="V110"/>
  <c r="W110"/>
  <c r="V111"/>
  <c r="W111"/>
  <c r="V112"/>
  <c r="W112"/>
  <c r="V113"/>
  <c r="W113"/>
  <c r="V117"/>
  <c r="W117"/>
  <c r="V118"/>
  <c r="W118"/>
  <c r="V119"/>
  <c r="W119"/>
  <c r="V120"/>
  <c r="W120"/>
  <c r="V121"/>
  <c r="W121"/>
  <c r="V122"/>
  <c r="W122"/>
  <c r="V123"/>
  <c r="W123"/>
  <c r="V124"/>
  <c r="W124"/>
  <c r="V128"/>
  <c r="W128"/>
  <c r="V129"/>
  <c r="W129"/>
  <c r="V130"/>
  <c r="W130"/>
  <c r="V131"/>
  <c r="W131"/>
  <c r="V132"/>
  <c r="W132"/>
  <c r="V133"/>
  <c r="W133"/>
  <c r="V134"/>
  <c r="W134"/>
  <c r="V135"/>
  <c r="W135"/>
  <c r="U138"/>
  <c r="U150"/>
  <c r="U148"/>
  <c r="U143"/>
  <c r="U463" s="1"/>
  <c r="U462" s="1"/>
  <c r="T135"/>
  <c r="T134"/>
  <c r="T133"/>
  <c r="T132"/>
  <c r="T131"/>
  <c r="T130"/>
  <c r="T129"/>
  <c r="T128"/>
  <c r="T124"/>
  <c r="T123"/>
  <c r="T122"/>
  <c r="T121"/>
  <c r="T120"/>
  <c r="T119"/>
  <c r="T118"/>
  <c r="T117"/>
  <c r="T113"/>
  <c r="T112"/>
  <c r="T111"/>
  <c r="T110"/>
  <c r="T109"/>
  <c r="T108"/>
  <c r="T107"/>
  <c r="T106"/>
  <c r="T105"/>
  <c r="T102"/>
  <c r="T101"/>
  <c r="T100"/>
  <c r="T99"/>
  <c r="T98"/>
  <c r="T97"/>
  <c r="T96"/>
  <c r="T94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73"/>
  <c r="T63"/>
  <c r="T62"/>
  <c r="T58"/>
  <c r="T59"/>
  <c r="T56"/>
  <c r="T57"/>
  <c r="T55"/>
  <c r="T35"/>
  <c r="T36"/>
  <c r="T37"/>
  <c r="T39"/>
  <c r="T40"/>
  <c r="T41"/>
  <c r="T44"/>
  <c r="T45"/>
  <c r="T46"/>
  <c r="T51"/>
  <c r="T34"/>
  <c r="T25"/>
  <c r="T23"/>
  <c r="T33"/>
  <c r="T32"/>
  <c r="T27"/>
  <c r="T28"/>
  <c r="T29"/>
  <c r="T30"/>
  <c r="T9"/>
  <c r="T11"/>
  <c r="T12"/>
  <c r="T13"/>
  <c r="T14"/>
  <c r="T16"/>
  <c r="T17"/>
  <c r="T19"/>
  <c r="T20"/>
  <c r="T7"/>
  <c r="T8"/>
  <c r="L169" i="23"/>
  <c r="L170"/>
  <c r="L148"/>
  <c r="L147" s="1"/>
  <c r="L150"/>
  <c r="L151"/>
  <c r="L152"/>
  <c r="L154"/>
  <c r="L153" s="1"/>
  <c r="L155"/>
  <c r="L156"/>
  <c r="L133"/>
  <c r="L111"/>
  <c r="L100"/>
  <c r="L89"/>
  <c r="L69"/>
  <c r="L163" s="1"/>
  <c r="L162" s="1"/>
  <c r="L71"/>
  <c r="L72"/>
  <c r="L73"/>
  <c r="L54"/>
  <c r="L43"/>
  <c r="G54" i="22"/>
  <c r="G53"/>
  <c r="G52"/>
  <c r="G95"/>
  <c r="L176"/>
  <c r="L180"/>
  <c r="L449" s="1"/>
  <c r="L184"/>
  <c r="L450" s="1"/>
  <c r="L188"/>
  <c r="T188" s="1"/>
  <c r="K188"/>
  <c r="L95"/>
  <c r="T95" s="1"/>
  <c r="L54"/>
  <c r="T54" s="1"/>
  <c r="L53"/>
  <c r="T53" s="1"/>
  <c r="T143" s="1"/>
  <c r="T142" s="1"/>
  <c r="N443"/>
  <c r="O443"/>
  <c r="L445"/>
  <c r="M445"/>
  <c r="N445"/>
  <c r="O445"/>
  <c r="T445"/>
  <c r="M448"/>
  <c r="N448"/>
  <c r="O448"/>
  <c r="M449"/>
  <c r="N449"/>
  <c r="O449"/>
  <c r="M450"/>
  <c r="N450"/>
  <c r="O450"/>
  <c r="L452"/>
  <c r="M452"/>
  <c r="N452"/>
  <c r="O452"/>
  <c r="T452"/>
  <c r="L453"/>
  <c r="M453"/>
  <c r="N453"/>
  <c r="O453"/>
  <c r="T453"/>
  <c r="L469"/>
  <c r="M469"/>
  <c r="N469"/>
  <c r="O469"/>
  <c r="T469"/>
  <c r="L470"/>
  <c r="M470"/>
  <c r="N470"/>
  <c r="O470"/>
  <c r="T470"/>
  <c r="M472"/>
  <c r="N472"/>
  <c r="O472"/>
  <c r="L439"/>
  <c r="M439"/>
  <c r="L425"/>
  <c r="L414"/>
  <c r="L403"/>
  <c r="L344"/>
  <c r="L333"/>
  <c r="L299"/>
  <c r="L264"/>
  <c r="L250"/>
  <c r="L237"/>
  <c r="L193"/>
  <c r="L140"/>
  <c r="N140"/>
  <c r="O140"/>
  <c r="L143"/>
  <c r="L142" s="1"/>
  <c r="M143"/>
  <c r="M142" s="1"/>
  <c r="N143"/>
  <c r="N142" s="1"/>
  <c r="O143"/>
  <c r="O142" s="1"/>
  <c r="V143"/>
  <c r="V142" s="1"/>
  <c r="W143"/>
  <c r="W142" s="1"/>
  <c r="N145"/>
  <c r="O145"/>
  <c r="N146"/>
  <c r="O146"/>
  <c r="N147"/>
  <c r="O147"/>
  <c r="L148"/>
  <c r="M148"/>
  <c r="N148"/>
  <c r="O148"/>
  <c r="T148"/>
  <c r="V148"/>
  <c r="W148"/>
  <c r="N150"/>
  <c r="O150"/>
  <c r="V150"/>
  <c r="W150"/>
  <c r="K137"/>
  <c r="L136"/>
  <c r="L125"/>
  <c r="L114"/>
  <c r="L103"/>
  <c r="L92"/>
  <c r="L61"/>
  <c r="L60"/>
  <c r="T60" s="1"/>
  <c r="H31"/>
  <c r="X16"/>
  <c r="X7" s="1"/>
  <c r="I16"/>
  <c r="U16" s="1"/>
  <c r="T443" l="1"/>
  <c r="O466"/>
  <c r="N466"/>
  <c r="U356"/>
  <c r="T140"/>
  <c r="T460" s="1"/>
  <c r="M355"/>
  <c r="L392"/>
  <c r="U142"/>
  <c r="L443"/>
  <c r="L460" s="1"/>
  <c r="O467"/>
  <c r="N467"/>
  <c r="O465"/>
  <c r="O464" s="1"/>
  <c r="N465"/>
  <c r="N464" s="1"/>
  <c r="N460"/>
  <c r="O460"/>
  <c r="T472"/>
  <c r="T150"/>
  <c r="L150"/>
  <c r="L472"/>
  <c r="L52"/>
  <c r="T355"/>
  <c r="L167" i="23"/>
  <c r="L166"/>
  <c r="L70"/>
  <c r="L149"/>
  <c r="L168"/>
  <c r="L165"/>
  <c r="L164" s="1"/>
  <c r="T184" i="22"/>
  <c r="T450" s="1"/>
  <c r="M460"/>
  <c r="O463"/>
  <c r="O462" s="1"/>
  <c r="N463"/>
  <c r="N462" s="1"/>
  <c r="M463"/>
  <c r="M462" s="1"/>
  <c r="V463"/>
  <c r="V462" s="1"/>
  <c r="W463"/>
  <c r="W462" s="1"/>
  <c r="O468"/>
  <c r="N468"/>
  <c r="M468"/>
  <c r="L468"/>
  <c r="O451"/>
  <c r="N451"/>
  <c r="M451"/>
  <c r="L451"/>
  <c r="M147"/>
  <c r="M467" s="1"/>
  <c r="L147"/>
  <c r="M146"/>
  <c r="M466" s="1"/>
  <c r="L146"/>
  <c r="M21"/>
  <c r="M145"/>
  <c r="L21"/>
  <c r="L6" s="1"/>
  <c r="L145"/>
  <c r="W469"/>
  <c r="W468" s="1"/>
  <c r="W451"/>
  <c r="V469"/>
  <c r="V468" s="1"/>
  <c r="V451"/>
  <c r="U469"/>
  <c r="U468" s="1"/>
  <c r="U451"/>
  <c r="T468"/>
  <c r="T451"/>
  <c r="O144"/>
  <c r="O139" s="1"/>
  <c r="N144"/>
  <c r="N139" s="1"/>
  <c r="T463"/>
  <c r="T462" s="1"/>
  <c r="O447"/>
  <c r="O442" s="1"/>
  <c r="N447"/>
  <c r="N442" s="1"/>
  <c r="M447"/>
  <c r="M442" s="1"/>
  <c r="L175"/>
  <c r="L159" s="1"/>
  <c r="L448"/>
  <c r="L447" s="1"/>
  <c r="L467"/>
  <c r="L466"/>
  <c r="L463"/>
  <c r="L462" s="1"/>
  <c r="J137"/>
  <c r="N459" l="1"/>
  <c r="L442"/>
  <c r="P443"/>
  <c r="P392"/>
  <c r="T392" s="1"/>
  <c r="M144"/>
  <c r="M139" s="1"/>
  <c r="M465"/>
  <c r="M464" s="1"/>
  <c r="M459" s="1"/>
  <c r="O459"/>
  <c r="T52"/>
  <c r="L31"/>
  <c r="T31" s="1"/>
  <c r="M6"/>
  <c r="L144"/>
  <c r="L139" s="1"/>
  <c r="L465"/>
  <c r="L464" s="1"/>
  <c r="L459" s="1"/>
  <c r="J162"/>
  <c r="I425"/>
  <c r="U425" s="1"/>
  <c r="K426"/>
  <c r="W426" s="1"/>
  <c r="J426"/>
  <c r="V426" s="1"/>
  <c r="P460" l="1"/>
  <c r="P459" s="1"/>
  <c r="P442"/>
  <c r="J425"/>
  <c r="V425" s="1"/>
  <c r="K425"/>
  <c r="W425" s="1"/>
  <c r="K372"/>
  <c r="W372" s="1"/>
  <c r="J372"/>
  <c r="V372" s="1"/>
  <c r="K71"/>
  <c r="J71"/>
  <c r="K472" l="1"/>
  <c r="I71"/>
  <c r="I62" l="1"/>
  <c r="U62" s="1"/>
  <c r="G62"/>
  <c r="I136"/>
  <c r="U136" s="1"/>
  <c r="J136"/>
  <c r="K136"/>
  <c r="G439"/>
  <c r="I439"/>
  <c r="U439" s="1"/>
  <c r="J439"/>
  <c r="K439"/>
  <c r="J370"/>
  <c r="V370" s="1"/>
  <c r="K370"/>
  <c r="W370" s="1"/>
  <c r="I370"/>
  <c r="U370" s="1"/>
  <c r="K369"/>
  <c r="W369" s="1"/>
  <c r="J356"/>
  <c r="V356" s="1"/>
  <c r="K356"/>
  <c r="W356" s="1"/>
  <c r="I355"/>
  <c r="U355" s="1"/>
  <c r="K355"/>
  <c r="W355" s="1"/>
  <c r="J311"/>
  <c r="V311" s="1"/>
  <c r="K311"/>
  <c r="W311" s="1"/>
  <c r="I311"/>
  <c r="U311" s="1"/>
  <c r="J188"/>
  <c r="I191"/>
  <c r="U191" s="1"/>
  <c r="K186"/>
  <c r="W186" s="1"/>
  <c r="K185"/>
  <c r="W185" s="1"/>
  <c r="K184"/>
  <c r="K182"/>
  <c r="W182" s="1"/>
  <c r="K181"/>
  <c r="W181" s="1"/>
  <c r="K180"/>
  <c r="K178"/>
  <c r="W178" s="1"/>
  <c r="K177"/>
  <c r="Y186"/>
  <c r="J186"/>
  <c r="V186" s="1"/>
  <c r="I186"/>
  <c r="U186" s="1"/>
  <c r="Y185"/>
  <c r="J185"/>
  <c r="I185"/>
  <c r="U185" s="1"/>
  <c r="Y184"/>
  <c r="X184"/>
  <c r="Y182"/>
  <c r="J182"/>
  <c r="V182" s="1"/>
  <c r="I182"/>
  <c r="U182" s="1"/>
  <c r="Y181"/>
  <c r="X181"/>
  <c r="J181"/>
  <c r="V181" s="1"/>
  <c r="I181"/>
  <c r="U181" s="1"/>
  <c r="Y180"/>
  <c r="X180"/>
  <c r="J180"/>
  <c r="I180"/>
  <c r="Y178"/>
  <c r="J178"/>
  <c r="V178" s="1"/>
  <c r="I178"/>
  <c r="U178" s="1"/>
  <c r="Y177"/>
  <c r="X177"/>
  <c r="J177"/>
  <c r="V177" s="1"/>
  <c r="I177"/>
  <c r="U177" s="1"/>
  <c r="Y176"/>
  <c r="X176"/>
  <c r="J176"/>
  <c r="I176"/>
  <c r="U176" s="1"/>
  <c r="U448" s="1"/>
  <c r="X175"/>
  <c r="G184"/>
  <c r="K162"/>
  <c r="K160"/>
  <c r="W160" s="1"/>
  <c r="I166"/>
  <c r="U166" s="1"/>
  <c r="I165"/>
  <c r="U165" s="1"/>
  <c r="Y162"/>
  <c r="X162"/>
  <c r="I162"/>
  <c r="U162" s="1"/>
  <c r="Y160"/>
  <c r="X160"/>
  <c r="J160"/>
  <c r="V160" s="1"/>
  <c r="I160"/>
  <c r="U160" s="1"/>
  <c r="I34"/>
  <c r="U34" s="1"/>
  <c r="K41"/>
  <c r="W41" s="1"/>
  <c r="K69"/>
  <c r="K62" s="1"/>
  <c r="W62" s="1"/>
  <c r="Y46"/>
  <c r="X46"/>
  <c r="Y45"/>
  <c r="X45"/>
  <c r="K45"/>
  <c r="W45" s="1"/>
  <c r="J45"/>
  <c r="V45" s="1"/>
  <c r="Y41"/>
  <c r="J41"/>
  <c r="I41"/>
  <c r="U41" s="1"/>
  <c r="Y40"/>
  <c r="Y32" s="1"/>
  <c r="X40"/>
  <c r="X32" s="1"/>
  <c r="J69"/>
  <c r="I37"/>
  <c r="U37" s="1"/>
  <c r="I36"/>
  <c r="U36" s="1"/>
  <c r="I35"/>
  <c r="U35" s="1"/>
  <c r="K16"/>
  <c r="W16" s="1"/>
  <c r="K27"/>
  <c r="W27" s="1"/>
  <c r="K26"/>
  <c r="K25"/>
  <c r="W25" s="1"/>
  <c r="K24"/>
  <c r="K23"/>
  <c r="G26"/>
  <c r="G24"/>
  <c r="G22"/>
  <c r="G21" s="1"/>
  <c r="Y27"/>
  <c r="J27"/>
  <c r="V27" s="1"/>
  <c r="I27"/>
  <c r="U27" s="1"/>
  <c r="Y26"/>
  <c r="X26"/>
  <c r="J26"/>
  <c r="I26"/>
  <c r="Y25"/>
  <c r="J25"/>
  <c r="V25" s="1"/>
  <c r="I25"/>
  <c r="U25" s="1"/>
  <c r="Y24"/>
  <c r="X24"/>
  <c r="J24"/>
  <c r="I24"/>
  <c r="Y23"/>
  <c r="J23"/>
  <c r="V23" s="1"/>
  <c r="I23"/>
  <c r="U23" s="1"/>
  <c r="Y22"/>
  <c r="X22"/>
  <c r="J22"/>
  <c r="I22"/>
  <c r="U22" s="1"/>
  <c r="Y21"/>
  <c r="K7"/>
  <c r="W7" s="1"/>
  <c r="Y16"/>
  <c r="Y7" s="1"/>
  <c r="J16"/>
  <c r="I14"/>
  <c r="U14" s="1"/>
  <c r="I13"/>
  <c r="U13" s="1"/>
  <c r="I12"/>
  <c r="U12" s="1"/>
  <c r="I11"/>
  <c r="U11" s="1"/>
  <c r="I145" i="23"/>
  <c r="J145"/>
  <c r="K145"/>
  <c r="I148"/>
  <c r="I147" s="1"/>
  <c r="J148"/>
  <c r="J147" s="1"/>
  <c r="K148"/>
  <c r="K147" s="1"/>
  <c r="I150"/>
  <c r="J150"/>
  <c r="K150"/>
  <c r="I151"/>
  <c r="J151"/>
  <c r="K151"/>
  <c r="I152"/>
  <c r="J152"/>
  <c r="K152"/>
  <c r="J154"/>
  <c r="K154"/>
  <c r="J155"/>
  <c r="K155"/>
  <c r="J156"/>
  <c r="K156"/>
  <c r="V176" i="22" l="1"/>
  <c r="V448" s="1"/>
  <c r="V180"/>
  <c r="V449" s="1"/>
  <c r="W180"/>
  <c r="W449" s="1"/>
  <c r="W184"/>
  <c r="W450" s="1"/>
  <c r="V22"/>
  <c r="V145" s="1"/>
  <c r="V24"/>
  <c r="V146" s="1"/>
  <c r="V26"/>
  <c r="V147" s="1"/>
  <c r="W24"/>
  <c r="W146" s="1"/>
  <c r="W26"/>
  <c r="W147" s="1"/>
  <c r="X21"/>
  <c r="J21"/>
  <c r="V21" s="1"/>
  <c r="Y175"/>
  <c r="J310"/>
  <c r="V310" s="1"/>
  <c r="J369"/>
  <c r="V369" s="1"/>
  <c r="U443"/>
  <c r="K310"/>
  <c r="W310" s="1"/>
  <c r="J355"/>
  <c r="V355" s="1"/>
  <c r="I369"/>
  <c r="U369" s="1"/>
  <c r="U180"/>
  <c r="U449" s="1"/>
  <c r="U26"/>
  <c r="U147" s="1"/>
  <c r="U24"/>
  <c r="U146" s="1"/>
  <c r="I61"/>
  <c r="U61" s="1"/>
  <c r="I310"/>
  <c r="U310" s="1"/>
  <c r="W443"/>
  <c r="I7"/>
  <c r="U7" s="1"/>
  <c r="J7"/>
  <c r="V7" s="1"/>
  <c r="V16"/>
  <c r="K22"/>
  <c r="W22" s="1"/>
  <c r="W23"/>
  <c r="I32"/>
  <c r="U32" s="1"/>
  <c r="J32"/>
  <c r="V32" s="1"/>
  <c r="V41"/>
  <c r="I184"/>
  <c r="U184" s="1"/>
  <c r="V185"/>
  <c r="J184"/>
  <c r="V184" s="1"/>
  <c r="W177"/>
  <c r="K176"/>
  <c r="W176" s="1"/>
  <c r="I188"/>
  <c r="U188" s="1"/>
  <c r="J31"/>
  <c r="V31" s="1"/>
  <c r="I21"/>
  <c r="U21" s="1"/>
  <c r="U145"/>
  <c r="U465" s="1"/>
  <c r="I6"/>
  <c r="U6" s="1"/>
  <c r="I31"/>
  <c r="U31" s="1"/>
  <c r="U140"/>
  <c r="K61"/>
  <c r="W61" s="1"/>
  <c r="J443"/>
  <c r="V443"/>
  <c r="K32"/>
  <c r="W32" s="1"/>
  <c r="W140" s="1"/>
  <c r="J62"/>
  <c r="V62" s="1"/>
  <c r="K153" i="23"/>
  <c r="J153"/>
  <c r="K149"/>
  <c r="J149"/>
  <c r="I149"/>
  <c r="K144"/>
  <c r="J144"/>
  <c r="W467" i="22" l="1"/>
  <c r="W466"/>
  <c r="V466"/>
  <c r="V140"/>
  <c r="V460" s="1"/>
  <c r="V144"/>
  <c r="V465"/>
  <c r="J6"/>
  <c r="V6" s="1"/>
  <c r="U460"/>
  <c r="U466"/>
  <c r="U144"/>
  <c r="U139" s="1"/>
  <c r="W448"/>
  <c r="K175"/>
  <c r="W175" s="1"/>
  <c r="V450"/>
  <c r="J175"/>
  <c r="V175" s="1"/>
  <c r="U450"/>
  <c r="I175"/>
  <c r="U175" s="1"/>
  <c r="W145"/>
  <c r="W144" s="1"/>
  <c r="W139" s="1"/>
  <c r="K21"/>
  <c r="W21" s="1"/>
  <c r="K31"/>
  <c r="W31" s="1"/>
  <c r="J61"/>
  <c r="V61" s="1"/>
  <c r="J169" i="23"/>
  <c r="K169"/>
  <c r="J170"/>
  <c r="K170"/>
  <c r="I66"/>
  <c r="I160" s="1"/>
  <c r="J66"/>
  <c r="J160" s="1"/>
  <c r="K66"/>
  <c r="K160" s="1"/>
  <c r="I69"/>
  <c r="I163" s="1"/>
  <c r="I162" s="1"/>
  <c r="J69"/>
  <c r="J163" s="1"/>
  <c r="J162" s="1"/>
  <c r="K69"/>
  <c r="K163" s="1"/>
  <c r="K162" s="1"/>
  <c r="I71"/>
  <c r="I165" s="1"/>
  <c r="J71"/>
  <c r="J165" s="1"/>
  <c r="K71"/>
  <c r="K165" s="1"/>
  <c r="I72"/>
  <c r="I166" s="1"/>
  <c r="J72"/>
  <c r="J166" s="1"/>
  <c r="K72"/>
  <c r="K166" s="1"/>
  <c r="I73"/>
  <c r="I167" s="1"/>
  <c r="J73"/>
  <c r="J167" s="1"/>
  <c r="K73"/>
  <c r="K167" s="1"/>
  <c r="H73"/>
  <c r="G74"/>
  <c r="H54"/>
  <c r="H43"/>
  <c r="H32"/>
  <c r="H10"/>
  <c r="I140" i="22"/>
  <c r="J140"/>
  <c r="K140"/>
  <c r="I143"/>
  <c r="I142" s="1"/>
  <c r="J143"/>
  <c r="J142" s="1"/>
  <c r="K143"/>
  <c r="K142" s="1"/>
  <c r="I145"/>
  <c r="J145"/>
  <c r="K145"/>
  <c r="I146"/>
  <c r="J146"/>
  <c r="K146"/>
  <c r="I147"/>
  <c r="J147"/>
  <c r="K147"/>
  <c r="I148"/>
  <c r="J148"/>
  <c r="K148"/>
  <c r="I150"/>
  <c r="J150"/>
  <c r="K150"/>
  <c r="I463"/>
  <c r="I462" s="1"/>
  <c r="J463"/>
  <c r="J462" s="1"/>
  <c r="K463"/>
  <c r="K462" s="1"/>
  <c r="I472"/>
  <c r="J472"/>
  <c r="I443"/>
  <c r="J460"/>
  <c r="K443"/>
  <c r="I445"/>
  <c r="J445"/>
  <c r="K445"/>
  <c r="I448"/>
  <c r="J448"/>
  <c r="K448"/>
  <c r="I449"/>
  <c r="I466" s="1"/>
  <c r="J449"/>
  <c r="J466" s="1"/>
  <c r="K449"/>
  <c r="K466" s="1"/>
  <c r="I450"/>
  <c r="I467" s="1"/>
  <c r="J450"/>
  <c r="J467" s="1"/>
  <c r="K450"/>
  <c r="K467" s="1"/>
  <c r="I452"/>
  <c r="J452"/>
  <c r="K452"/>
  <c r="I453"/>
  <c r="I470" s="1"/>
  <c r="J453"/>
  <c r="J470" s="1"/>
  <c r="K453"/>
  <c r="K470" s="1"/>
  <c r="H439"/>
  <c r="H425"/>
  <c r="T425" s="1"/>
  <c r="H414"/>
  <c r="T414" s="1"/>
  <c r="H403"/>
  <c r="T403" s="1"/>
  <c r="H381"/>
  <c r="T381" s="1"/>
  <c r="H369"/>
  <c r="T369" s="1"/>
  <c r="H355"/>
  <c r="H344"/>
  <c r="T344" s="1"/>
  <c r="H333"/>
  <c r="T333" s="1"/>
  <c r="H310"/>
  <c r="T310" s="1"/>
  <c r="H299"/>
  <c r="T299" s="1"/>
  <c r="H286"/>
  <c r="T286" s="1"/>
  <c r="H264"/>
  <c r="T264" s="1"/>
  <c r="H250"/>
  <c r="T250" s="1"/>
  <c r="H237"/>
  <c r="T237" s="1"/>
  <c r="H204"/>
  <c r="H193"/>
  <c r="T193" s="1"/>
  <c r="H136"/>
  <c r="T136" s="1"/>
  <c r="H125"/>
  <c r="T125" s="1"/>
  <c r="H114"/>
  <c r="T114" s="1"/>
  <c r="H103"/>
  <c r="T103" s="1"/>
  <c r="H92"/>
  <c r="T92" s="1"/>
  <c r="H61"/>
  <c r="T61" s="1"/>
  <c r="V139" l="1"/>
  <c r="K6"/>
  <c r="W6" s="1"/>
  <c r="I159"/>
  <c r="U159" s="1"/>
  <c r="U467"/>
  <c r="U464" s="1"/>
  <c r="U459" s="1"/>
  <c r="U447"/>
  <c r="U442" s="1"/>
  <c r="J159"/>
  <c r="V159" s="1"/>
  <c r="V467"/>
  <c r="V464" s="1"/>
  <c r="V459" s="1"/>
  <c r="V447"/>
  <c r="V442" s="1"/>
  <c r="K159"/>
  <c r="W159" s="1"/>
  <c r="W465"/>
  <c r="W464" s="1"/>
  <c r="W447"/>
  <c r="W442" s="1"/>
  <c r="W460"/>
  <c r="K460"/>
  <c r="I460"/>
  <c r="K168" i="23"/>
  <c r="J168"/>
  <c r="K164"/>
  <c r="J164"/>
  <c r="I164"/>
  <c r="K159"/>
  <c r="J159"/>
  <c r="K70"/>
  <c r="J70"/>
  <c r="I70"/>
  <c r="K451" i="22"/>
  <c r="J451"/>
  <c r="I451"/>
  <c r="K447"/>
  <c r="K442" s="1"/>
  <c r="J447"/>
  <c r="J442" s="1"/>
  <c r="I447"/>
  <c r="I442" s="1"/>
  <c r="K469"/>
  <c r="K468" s="1"/>
  <c r="J469"/>
  <c r="J468" s="1"/>
  <c r="I469"/>
  <c r="I468" s="1"/>
  <c r="K465"/>
  <c r="K464" s="1"/>
  <c r="J465"/>
  <c r="J464" s="1"/>
  <c r="J459" s="1"/>
  <c r="I465"/>
  <c r="I464" s="1"/>
  <c r="I459" s="1"/>
  <c r="K144"/>
  <c r="K139" s="1"/>
  <c r="J144"/>
  <c r="J139" s="1"/>
  <c r="I144"/>
  <c r="K65" i="23"/>
  <c r="J65"/>
  <c r="I65"/>
  <c r="I139" i="22"/>
  <c r="Y93"/>
  <c r="Y415"/>
  <c r="X426"/>
  <c r="H26"/>
  <c r="T26" s="1"/>
  <c r="T147" s="1"/>
  <c r="T467" s="1"/>
  <c r="H24"/>
  <c r="T24" s="1"/>
  <c r="T146" s="1"/>
  <c r="H22"/>
  <c r="T22" s="1"/>
  <c r="T145" s="1"/>
  <c r="H180"/>
  <c r="H176"/>
  <c r="X443"/>
  <c r="Y443"/>
  <c r="H443"/>
  <c r="G323"/>
  <c r="G326"/>
  <c r="G325" s="1"/>
  <c r="G328"/>
  <c r="G329"/>
  <c r="G330"/>
  <c r="G331"/>
  <c r="G332"/>
  <c r="H68"/>
  <c r="H67"/>
  <c r="H66"/>
  <c r="H65"/>
  <c r="G123" i="23"/>
  <c r="G126"/>
  <c r="G125"/>
  <c r="G128"/>
  <c r="G129"/>
  <c r="G130"/>
  <c r="G127"/>
  <c r="G131"/>
  <c r="G132"/>
  <c r="Y140" i="22"/>
  <c r="X140"/>
  <c r="H147"/>
  <c r="G147" s="1"/>
  <c r="H143"/>
  <c r="H142" s="1"/>
  <c r="H145"/>
  <c r="G145" s="1"/>
  <c r="H146"/>
  <c r="G146" s="1"/>
  <c r="H148"/>
  <c r="H150"/>
  <c r="X472"/>
  <c r="Y472"/>
  <c r="H472"/>
  <c r="Y66" i="23"/>
  <c r="X66"/>
  <c r="H66"/>
  <c r="G66"/>
  <c r="Y143" i="22"/>
  <c r="Y142" s="1"/>
  <c r="Y145"/>
  <c r="Y146"/>
  <c r="Y147"/>
  <c r="X143"/>
  <c r="X142" s="1"/>
  <c r="X145"/>
  <c r="X146"/>
  <c r="X147"/>
  <c r="X148"/>
  <c r="G148" s="1"/>
  <c r="X150"/>
  <c r="G82"/>
  <c r="G85"/>
  <c r="G84" s="1"/>
  <c r="G87"/>
  <c r="G88"/>
  <c r="G89"/>
  <c r="G90"/>
  <c r="G91"/>
  <c r="G31"/>
  <c r="H83" i="23"/>
  <c r="X83"/>
  <c r="Y83"/>
  <c r="G86"/>
  <c r="G84"/>
  <c r="G85"/>
  <c r="G83"/>
  <c r="G225" i="22"/>
  <c r="G224"/>
  <c r="G223"/>
  <c r="G222"/>
  <c r="G221"/>
  <c r="G220" s="1"/>
  <c r="G219"/>
  <c r="G218" s="1"/>
  <c r="G216"/>
  <c r="G44" i="23"/>
  <c r="X145"/>
  <c r="Y145"/>
  <c r="H145"/>
  <c r="G22"/>
  <c r="G29"/>
  <c r="G31"/>
  <c r="G25"/>
  <c r="G24"/>
  <c r="X160"/>
  <c r="G145"/>
  <c r="G79"/>
  <c r="G90"/>
  <c r="G55"/>
  <c r="H69"/>
  <c r="X69"/>
  <c r="X73"/>
  <c r="G227" i="22"/>
  <c r="G276"/>
  <c r="Y460"/>
  <c r="G20"/>
  <c r="G19"/>
  <c r="G29"/>
  <c r="G30"/>
  <c r="G136"/>
  <c r="Y69" i="23"/>
  <c r="H71"/>
  <c r="X71"/>
  <c r="Y71"/>
  <c r="H72"/>
  <c r="X72"/>
  <c r="Y72"/>
  <c r="Y73"/>
  <c r="G75"/>
  <c r="G27"/>
  <c r="G28"/>
  <c r="G26"/>
  <c r="G30"/>
  <c r="G82"/>
  <c r="G81"/>
  <c r="G87"/>
  <c r="G88"/>
  <c r="H150"/>
  <c r="X150"/>
  <c r="Y150"/>
  <c r="Y151"/>
  <c r="Y152"/>
  <c r="Y167"/>
  <c r="H151"/>
  <c r="X151"/>
  <c r="Y166"/>
  <c r="H152"/>
  <c r="X152"/>
  <c r="X167"/>
  <c r="H148"/>
  <c r="H163"/>
  <c r="X148"/>
  <c r="X163"/>
  <c r="Y148"/>
  <c r="G148"/>
  <c r="G147"/>
  <c r="Y154"/>
  <c r="I154" s="1"/>
  <c r="Y155"/>
  <c r="I155" s="1"/>
  <c r="I170" s="1"/>
  <c r="X155"/>
  <c r="X170"/>
  <c r="Y156"/>
  <c r="I156" s="1"/>
  <c r="X156"/>
  <c r="H156"/>
  <c r="G156"/>
  <c r="H147"/>
  <c r="X147"/>
  <c r="Y147"/>
  <c r="X165"/>
  <c r="Y170"/>
  <c r="G171"/>
  <c r="G192" i="22"/>
  <c r="X188"/>
  <c r="Y188"/>
  <c r="G189"/>
  <c r="G190"/>
  <c r="X159"/>
  <c r="Y159"/>
  <c r="G174"/>
  <c r="G173"/>
  <c r="Y448"/>
  <c r="Y465" s="1"/>
  <c r="H448"/>
  <c r="G448" s="1"/>
  <c r="H449"/>
  <c r="G449" s="1"/>
  <c r="X449"/>
  <c r="X466" s="1"/>
  <c r="Y449"/>
  <c r="Y466" s="1"/>
  <c r="H450"/>
  <c r="G450" s="1"/>
  <c r="X450"/>
  <c r="X467" s="1"/>
  <c r="Y450"/>
  <c r="Y467" s="1"/>
  <c r="X448"/>
  <c r="X465" s="1"/>
  <c r="G279"/>
  <c r="G278" s="1"/>
  <c r="G281"/>
  <c r="G282"/>
  <c r="G283"/>
  <c r="G284"/>
  <c r="G285"/>
  <c r="G230"/>
  <c r="G229" s="1"/>
  <c r="G232"/>
  <c r="G233"/>
  <c r="G234"/>
  <c r="G231" s="1"/>
  <c r="G235"/>
  <c r="G236"/>
  <c r="H453"/>
  <c r="G453" s="1"/>
  <c r="H452"/>
  <c r="G452" s="1"/>
  <c r="H451"/>
  <c r="G451" s="1"/>
  <c r="H463"/>
  <c r="X463"/>
  <c r="Y463"/>
  <c r="Y462" s="1"/>
  <c r="X452"/>
  <c r="X453"/>
  <c r="Y452"/>
  <c r="Y453"/>
  <c r="Y470"/>
  <c r="X462"/>
  <c r="G446"/>
  <c r="G445"/>
  <c r="G454"/>
  <c r="Y445"/>
  <c r="X445"/>
  <c r="H445"/>
  <c r="Y70" i="23"/>
  <c r="Y65"/>
  <c r="X70"/>
  <c r="X65"/>
  <c r="X451" i="22"/>
  <c r="H462"/>
  <c r="G152" i="23"/>
  <c r="Y165"/>
  <c r="Y164"/>
  <c r="G150"/>
  <c r="G425" i="22"/>
  <c r="G73" i="23"/>
  <c r="H166"/>
  <c r="X162"/>
  <c r="X469" i="22"/>
  <c r="H470"/>
  <c r="G470" s="1"/>
  <c r="G355"/>
  <c r="G286"/>
  <c r="Y153" i="23"/>
  <c r="G89"/>
  <c r="H70"/>
  <c r="H155"/>
  <c r="H170"/>
  <c r="G170"/>
  <c r="H162"/>
  <c r="X149"/>
  <c r="X166"/>
  <c r="G166"/>
  <c r="G151"/>
  <c r="H149"/>
  <c r="H165"/>
  <c r="G71"/>
  <c r="H167"/>
  <c r="G167"/>
  <c r="F159"/>
  <c r="G149"/>
  <c r="G392" i="22"/>
  <c r="G403"/>
  <c r="G250"/>
  <c r="G333"/>
  <c r="G344"/>
  <c r="G369"/>
  <c r="X164" i="23"/>
  <c r="G43"/>
  <c r="G111"/>
  <c r="G125" i="22"/>
  <c r="G69" i="23"/>
  <c r="G68"/>
  <c r="H469" i="22"/>
  <c r="G469" s="1"/>
  <c r="X154" i="23"/>
  <c r="Y169"/>
  <c r="Y168"/>
  <c r="Y163"/>
  <c r="Y162"/>
  <c r="H140" i="22"/>
  <c r="G310"/>
  <c r="G54" i="23"/>
  <c r="G114" i="22"/>
  <c r="G103"/>
  <c r="G299"/>
  <c r="G204"/>
  <c r="G144"/>
  <c r="G143"/>
  <c r="G142" s="1"/>
  <c r="F139"/>
  <c r="H468"/>
  <c r="G468" s="1"/>
  <c r="H164" i="23"/>
  <c r="G165"/>
  <c r="G164"/>
  <c r="H154"/>
  <c r="X153"/>
  <c r="X144"/>
  <c r="X169"/>
  <c r="X168"/>
  <c r="G163"/>
  <c r="G162"/>
  <c r="X152" i="22"/>
  <c r="H153" i="23"/>
  <c r="H169"/>
  <c r="G154"/>
  <c r="H168"/>
  <c r="X456" i="22"/>
  <c r="H144" i="23"/>
  <c r="G21"/>
  <c r="G72"/>
  <c r="G70"/>
  <c r="G155"/>
  <c r="X159"/>
  <c r="G65"/>
  <c r="G133"/>
  <c r="E144"/>
  <c r="H160"/>
  <c r="X144" i="22"/>
  <c r="Y144"/>
  <c r="F459"/>
  <c r="Y451"/>
  <c r="Y469"/>
  <c r="X470"/>
  <c r="Y149" i="23"/>
  <c r="G100"/>
  <c r="Y160"/>
  <c r="Y159"/>
  <c r="Z144"/>
  <c r="Y144"/>
  <c r="Y468" i="22"/>
  <c r="X468"/>
  <c r="G160" i="23"/>
  <c r="H159"/>
  <c r="G215" i="22" l="1"/>
  <c r="X460"/>
  <c r="G86"/>
  <c r="G81" s="1"/>
  <c r="H460"/>
  <c r="H144"/>
  <c r="H139" s="1"/>
  <c r="E442"/>
  <c r="H467"/>
  <c r="G467" s="1"/>
  <c r="Y447"/>
  <c r="Y442" s="1"/>
  <c r="K459"/>
  <c r="G327"/>
  <c r="H447"/>
  <c r="H442" s="1"/>
  <c r="X447"/>
  <c r="H465"/>
  <c r="G465" s="1"/>
  <c r="G463"/>
  <c r="G462" s="1"/>
  <c r="X139"/>
  <c r="G139"/>
  <c r="Y139"/>
  <c r="X442"/>
  <c r="T144"/>
  <c r="T139" s="1"/>
  <c r="Y464"/>
  <c r="Y459" s="1"/>
  <c r="H466"/>
  <c r="X464"/>
  <c r="X459" s="1"/>
  <c r="W459"/>
  <c r="H175"/>
  <c r="T176"/>
  <c r="T448" s="1"/>
  <c r="G180"/>
  <c r="T180"/>
  <c r="T449" s="1"/>
  <c r="T466" s="1"/>
  <c r="T175"/>
  <c r="H159"/>
  <c r="T159" s="1"/>
  <c r="G188"/>
  <c r="H21"/>
  <c r="G447"/>
  <c r="I153" i="23"/>
  <c r="I169"/>
  <c r="G176" i="22"/>
  <c r="G175" s="1"/>
  <c r="G6"/>
  <c r="G78" i="23"/>
  <c r="D144" s="1"/>
  <c r="G122"/>
  <c r="H65"/>
  <c r="G414" i="22"/>
  <c r="G226"/>
  <c r="G264"/>
  <c r="G280"/>
  <c r="G275" s="1"/>
  <c r="G381"/>
  <c r="G92"/>
  <c r="G61"/>
  <c r="G322"/>
  <c r="Z139" l="1"/>
  <c r="E139"/>
  <c r="G466"/>
  <c r="G464" s="1"/>
  <c r="G459" s="1"/>
  <c r="H464"/>
  <c r="H459" s="1"/>
  <c r="T465"/>
  <c r="T464" s="1"/>
  <c r="T459" s="1"/>
  <c r="T447"/>
  <c r="T442" s="1"/>
  <c r="G159"/>
  <c r="D442" s="1"/>
  <c r="G442"/>
  <c r="D459" s="1"/>
  <c r="H6"/>
  <c r="T6" s="1"/>
  <c r="T21"/>
  <c r="I168" i="23"/>
  <c r="G169"/>
  <c r="I144"/>
  <c r="G153"/>
  <c r="G144" s="1"/>
  <c r="D159" s="1"/>
  <c r="Z459" i="22" l="1"/>
  <c r="Z442"/>
  <c r="I159" i="23"/>
  <c r="G168"/>
  <c r="G159" s="1"/>
  <c r="L32" l="1"/>
  <c r="T32" s="1"/>
  <c r="G33"/>
  <c r="G32"/>
  <c r="L10"/>
  <c r="T10" s="1"/>
  <c r="G11"/>
  <c r="F65" s="1"/>
  <c r="G10"/>
  <c r="E65"/>
  <c r="L65" l="1"/>
  <c r="L159"/>
</calcChain>
</file>

<file path=xl/sharedStrings.xml><?xml version="1.0" encoding="utf-8"?>
<sst xmlns="http://schemas.openxmlformats.org/spreadsheetml/2006/main" count="922" uniqueCount="280">
  <si>
    <t>Обеспечение надёжности и увеличение пропускной способности  на 25%.   Ленинградский район.</t>
  </si>
  <si>
    <t>Обеспечение надежности и увеличение пропускной способности на 20%.   Городская застройка.</t>
  </si>
  <si>
    <t xml:space="preserve">Обеспечение транспортировки городских стоков.   Ленинградский район. </t>
  </si>
  <si>
    <t xml:space="preserve">Обеспечение транспортировки городских стоков.   Городская застройка. </t>
  </si>
  <si>
    <t xml:space="preserve">Обеспечение транспортировки городских стоков. Ленинградский район.  </t>
  </si>
  <si>
    <t>Очистка городских стоков</t>
  </si>
  <si>
    <t xml:space="preserve">Обеспечение транспортировки городских стоков.    Городская застройка.  </t>
  </si>
  <si>
    <t>Обеспечение транспортировки стоков пос. им. А. Космодемьянского.</t>
  </si>
  <si>
    <t>Обеспечение транспортировки стоков пос. Чкаловска.</t>
  </si>
  <si>
    <t>Обеспечение транспортировки стоков пос. Борисово</t>
  </si>
  <si>
    <t xml:space="preserve">Обеспечение транспортировки городских стоков. Ленинградский район. </t>
  </si>
  <si>
    <t>Наименование инвестиционного проекта</t>
  </si>
  <si>
    <t>тыс. руб.</t>
  </si>
  <si>
    <t>Завершение строительства и модернизация Восточной водопроводной станции (ВВС) с увеличением производительности до 90 тыс.м'/сутки</t>
  </si>
  <si>
    <t>ИТОГО ВОДОСНАБЖЕНИЕ</t>
  </si>
  <si>
    <t>ИТОГО ВОДООТВЕДЕНИЕ</t>
  </si>
  <si>
    <t>№    п.п.</t>
  </si>
  <si>
    <t>есть</t>
  </si>
  <si>
    <t>нет</t>
  </si>
  <si>
    <t>Реализация мероприятий по годам, тыс.руб.</t>
  </si>
  <si>
    <t>ВСЕГО ВОДОСНАБЖЕНИЕ И ВОДООТВЕДЕНИЕ</t>
  </si>
  <si>
    <t>Модернизация участка канализационного коллектора по ул.Тельмана</t>
  </si>
  <si>
    <t>*</t>
  </si>
  <si>
    <t>Реконструкция главного канализационного коллектора (7.8 км)</t>
  </si>
  <si>
    <t>Примечание</t>
  </si>
  <si>
    <t>Строительство очистных сооружений г. Калининграда</t>
  </si>
  <si>
    <t>Строительство узла переключения главного канализационного коллектора в коллектор промстоков в районе детской областной больницы.</t>
  </si>
  <si>
    <t xml:space="preserve"> тариф на подключение</t>
  </si>
  <si>
    <t>Собственные средства МУПКХ "Водоканал", из них</t>
  </si>
  <si>
    <t>Привлеченные средства</t>
  </si>
  <si>
    <t>Бюджетные средства, из них</t>
  </si>
  <si>
    <t>Федеральный бюджет</t>
  </si>
  <si>
    <t>Областной бюджет</t>
  </si>
  <si>
    <t xml:space="preserve"> Городской бюджет</t>
  </si>
  <si>
    <t>Ед изм.</t>
  </si>
  <si>
    <t>Цели реализации мероприятия</t>
  </si>
  <si>
    <t>Объемные показатели</t>
  </si>
  <si>
    <t>Средства внебюджетных фондов</t>
  </si>
  <si>
    <t>Прочие средства</t>
  </si>
  <si>
    <t>Заемные средства кредитных организаций</t>
  </si>
  <si>
    <t>Финансовые потребности, всего, тыс. руб.</t>
  </si>
  <si>
    <t xml:space="preserve">Федеральный бюджет </t>
  </si>
  <si>
    <t>Заемные средства кредитных организаций,Гранты ДЕПА</t>
  </si>
  <si>
    <t>тыс. м3/сут</t>
  </si>
  <si>
    <t>Наличие ПСД</t>
  </si>
  <si>
    <t>Подключение сетей канализации к разгрузочному коллектору № 1. /ШС-9,7,6,1/</t>
  </si>
  <si>
    <t>РП строительства 2-ой очереди очистных сооружений г. Калининграда.</t>
  </si>
  <si>
    <t>Обеспечение производства ресурса. Городская застройка.</t>
  </si>
  <si>
    <t>Обеспечение передачи ресурса.   Центральный и Октябрьский районы.</t>
  </si>
  <si>
    <t>Обеспечение надежности передачи ресурса.  Городская застройка.</t>
  </si>
  <si>
    <t>Обеспечение транспортировки и очистки городских стоков.   Городская застройка.</t>
  </si>
  <si>
    <t>Обеспечение транспортировки городских стоков.  Городская застройка.</t>
  </si>
  <si>
    <t>Заемные средства кредитных организаций, гранты</t>
  </si>
  <si>
    <t>Заемные средства кредитных организаций (ЕБРР,СИБ)</t>
  </si>
  <si>
    <t xml:space="preserve">тариф на подключение по водоснабжению рассчитывается исходя из потребности в денежных средствах в сумме </t>
  </si>
  <si>
    <t xml:space="preserve">Средства внебюджетных фондов </t>
  </si>
  <si>
    <t>ППСИ</t>
  </si>
  <si>
    <t>СИДА</t>
  </si>
  <si>
    <t>км</t>
  </si>
  <si>
    <t>Реконструкция КНС-1</t>
  </si>
  <si>
    <t>Реконструкция КНС-7.</t>
  </si>
  <si>
    <t>Инвестиционный проект по повышению качества товаров и услуг, улучшению экологической ситуации.</t>
  </si>
  <si>
    <t>Водоснабжение.</t>
  </si>
  <si>
    <t>1.1.1</t>
  </si>
  <si>
    <t>1.1.2</t>
  </si>
  <si>
    <t>Водоотведение и очистка сточных вод.</t>
  </si>
  <si>
    <t>1.2.1</t>
  </si>
  <si>
    <t>1.2.2</t>
  </si>
  <si>
    <t>1.2.3</t>
  </si>
  <si>
    <t>Инвестиционный проект на подключение строящихся (реконструируемых) объектов.</t>
  </si>
  <si>
    <t>2.1.1</t>
  </si>
  <si>
    <t>2.1.3</t>
  </si>
  <si>
    <t>Водоотведение.</t>
  </si>
  <si>
    <t>2.2.1</t>
  </si>
  <si>
    <t>2.2.5</t>
  </si>
  <si>
    <t>2.2.6</t>
  </si>
  <si>
    <t>2.2.7</t>
  </si>
  <si>
    <t>2.2.9</t>
  </si>
  <si>
    <t xml:space="preserve">тариф на подключение по водоотведению рассчитывается исходя из потребности в денежных средствах в сумме </t>
  </si>
  <si>
    <t>Строительство коллектора Д=800 мм по ул. Парковая аллея-Островского-ШС №13 разгрузочного коллектора № 1.</t>
  </si>
  <si>
    <t>Корректировка РП строительства коллектора Д=800мм ул. Парковая аллея-Островского-ШС №13 разгрузочного коллектора № 1.</t>
  </si>
  <si>
    <t>РП и реконструкция водовода Д900мм от Восточной водопроводной станции до Московской насосной станции № 2 на Д1200мм.</t>
  </si>
  <si>
    <t>Переход Верхнего пруда дюкером трассы водопровода Д600мм</t>
  </si>
  <si>
    <t>2.1.4</t>
  </si>
  <si>
    <t>РП и реконструкция участка водовода сырой воды от насосной станции II-го подъема ЮВС-2 до дюкера.</t>
  </si>
  <si>
    <t>РП и  реконструкция системы водоотведения пос. Борисово.</t>
  </si>
  <si>
    <t>1.2.4</t>
  </si>
  <si>
    <t>2.1.2</t>
  </si>
  <si>
    <t>2.2.2</t>
  </si>
  <si>
    <t>2.2.3</t>
  </si>
  <si>
    <t>2.2.4</t>
  </si>
  <si>
    <t>2.2.8</t>
  </si>
  <si>
    <t>1.1.3</t>
  </si>
  <si>
    <t>1.1.4</t>
  </si>
  <si>
    <t>РП и реконструкция емкостных сооружений и насосных станций ВКУ Ленинградского района.</t>
  </si>
  <si>
    <t>РП и  реконструкция очистных сооружений пос. Борисово.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</si>
  <si>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</si>
  <si>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</si>
  <si>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</si>
  <si>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</si>
  <si>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</si>
  <si>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</si>
  <si>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</si>
  <si>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</si>
  <si>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</si>
  <si>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Модернизация Московской насосной станции №1 /МНС-1/. Московской насосной станции №2 /МНС-2/.</t>
  </si>
  <si>
    <t>Возмещение расходов по оплате работ и возврату кредитов по программе 2007-2010г.г.</t>
  </si>
  <si>
    <t>(надбавка к тарифу)</t>
  </si>
  <si>
    <t xml:space="preserve">Затраты МУП КХ "Водоканал" на обслуживание кредита ЕБРР. Объект переходящий на 2011г.                                         </t>
  </si>
  <si>
    <t>2.1.5</t>
  </si>
  <si>
    <t>РП и реконструкция  участка водовода по переулку Беланова.</t>
  </si>
  <si>
    <t>РП и строительство сетей водоснабжения по ул. Лукашева - Калинина с Д100мм на Д200мм.</t>
  </si>
  <si>
    <t>Реконструкция сборных водоводов Д100мм от артскважин до ВНС в пос. Чкаловск.</t>
  </si>
  <si>
    <t>РП строительства напорного коллектора от КНС-1</t>
  </si>
  <si>
    <t>РП и строительство 2-го напорного коллектора и дюкера от КНС-2 до главного канализационного коллектора.</t>
  </si>
  <si>
    <t xml:space="preserve">РП и реконструкция КНС-2 с увеличением производительности до 40 тыс.м3/сут. </t>
  </si>
  <si>
    <t>Реконструкция акведука главного канализационного коллектора от ул.Красносельской до проспекта Победы.</t>
  </si>
  <si>
    <t>надбавка к тарифу</t>
  </si>
  <si>
    <t>Прочие средства (СИБ)</t>
  </si>
  <si>
    <t xml:space="preserve">РП реконструкции КНС-1 </t>
  </si>
  <si>
    <t>РП и реконструкция отводного канала ОС-1 и Приморской бухты.</t>
  </si>
  <si>
    <t>Обеспечение транспортировки стоков Ленинградского района</t>
  </si>
  <si>
    <t xml:space="preserve">Обеспечение транспортировки городских стоков.  Московский районы. </t>
  </si>
  <si>
    <t xml:space="preserve">Обеспечение транспортировки городских стоков. Московский районы. </t>
  </si>
  <si>
    <t xml:space="preserve">Обеспечение транспортировки городских стоков.   пос. Лермонтово. </t>
  </si>
  <si>
    <t>Модернизация  водотока «Школьный»</t>
  </si>
  <si>
    <t>Собственные средства МУП КХ «Водоканал», из них</t>
  </si>
  <si>
    <t>Собственные средства МУПКХ «Водоканал», из них</t>
  </si>
  <si>
    <t>(собственные средства МУП КХ «Водоканал» без учета бюджетного финансирования, грантов и с учётом налога на прибыль)</t>
  </si>
  <si>
    <t>в т.ч. Собственные средства МУПКХ «Водоканал»</t>
  </si>
  <si>
    <t>2.1.6</t>
  </si>
  <si>
    <t>2.1.7</t>
  </si>
  <si>
    <t xml:space="preserve">Прочие средства </t>
  </si>
  <si>
    <t>Приложение № 2</t>
  </si>
  <si>
    <t>2.1.8</t>
  </si>
  <si>
    <t>Обеспечение надежности передачи ресурса. Центральный район.</t>
  </si>
  <si>
    <t>Строительство ВНС "Сусанинская"</t>
  </si>
  <si>
    <t>Развитие скважинного водозабора до 90 тыс. м3/сут.</t>
  </si>
  <si>
    <t>Модернизация КНС по ул. Докука в п. Чкаловск.</t>
  </si>
  <si>
    <t>РП "Строительство разгрузочного коллектора по                 ул. Гагарина"</t>
  </si>
  <si>
    <t>Крюгер А/С</t>
  </si>
  <si>
    <t>Проценты и маржа Банка</t>
  </si>
  <si>
    <t>Маржа Инфина</t>
  </si>
  <si>
    <t xml:space="preserve">Комиссия по обязательствам Банка </t>
  </si>
  <si>
    <t>И.П. Смирнов В.Н.</t>
  </si>
  <si>
    <t>Реконструкция коллектора Д-450мм на Д630мм по ул. Стекольной от ул. Литовский вал.</t>
  </si>
  <si>
    <t>Реконструкция участка канализационного коллектора от ул. Алданской до КНС-4 в пос. им. А. Космодемьянском.</t>
  </si>
  <si>
    <t>2011 год</t>
  </si>
  <si>
    <t xml:space="preserve">План   </t>
  </si>
  <si>
    <t>Выполнение,           тыс. руб.</t>
  </si>
  <si>
    <t>Финансовые потребности всего,      тыс. руб.</t>
  </si>
  <si>
    <t>Отчет о выполнении  технических мероприятий инвестиционной программы по объектам</t>
  </si>
  <si>
    <t>Маржа Минфина РФ</t>
  </si>
  <si>
    <t>Комиссия по обязательствам Банка</t>
  </si>
  <si>
    <t>проценты по кредиту Минфина</t>
  </si>
  <si>
    <t>ООО "Стройспецназ"</t>
  </si>
  <si>
    <t>ООО "СК Монолит"</t>
  </si>
  <si>
    <t>ТЭЦ-8</t>
  </si>
  <si>
    <t>проценты по кредиту</t>
  </si>
  <si>
    <t>Фонд "Северное измерение"</t>
  </si>
  <si>
    <t>ВЕТЛАН-строй ООО (НДС и ЕБРР)</t>
  </si>
  <si>
    <t>Агенство "ФОРТ" ООО</t>
  </si>
  <si>
    <t xml:space="preserve">Ростехинвентаризация </t>
  </si>
  <si>
    <t>ИП Роменко А.В.</t>
  </si>
  <si>
    <t>Я.Н.С. - Консалт</t>
  </si>
  <si>
    <t>ОАО "Мостостроительный трест №6"</t>
  </si>
  <si>
    <t>ЗАО "Ленводоканалпроект"</t>
  </si>
  <si>
    <t>Западная энергетическая компания</t>
  </si>
  <si>
    <t>SWECO intrnational</t>
  </si>
  <si>
    <t>Инженерная строительная компания  ООО</t>
  </si>
  <si>
    <t>НИМБ-ПРОЕКТ  ООО</t>
  </si>
  <si>
    <t>Центр проектных экспертиз</t>
  </si>
  <si>
    <t>Регион проект ООО</t>
  </si>
  <si>
    <t>Проценты по кредитному соглашению</t>
  </si>
  <si>
    <t>Пояснительная записка.</t>
  </si>
  <si>
    <t>1. О выполнении мероприятий инвестиционной программы.</t>
  </si>
  <si>
    <t>п.2.1.1. Модернизация Московской насосной станции №1 /МНС-1/, Московская насосная станция №2 /МНС-2/.</t>
  </si>
  <si>
    <t>п.2.1.2. Завершение строительства и модернизации Восточной водопроводной станции (ВВС)  с увеличением производительности до 90 тыс. м3/сут.</t>
  </si>
  <si>
    <t>п.2.2.1. Строиетльство очистных сооружений, г. Калининград.</t>
  </si>
  <si>
    <t>2. О поступлении и использовании денежных средств по реализации Инвестиционной программы МУП КХ "Водоканал" 2011 - 2013г.г.</t>
  </si>
  <si>
    <t>3. О заключенных договорах "на подключение объектов капитального строительства к системам коммунальной инфраструктуры.</t>
  </si>
  <si>
    <t>п.2.2.9. РП и модернизация КНС по ул. Докука в п. Чкаловск</t>
  </si>
  <si>
    <t>п.2.2.12. РП "Строительство разгрузочного коллектора по ул. Гагарина"</t>
  </si>
  <si>
    <t>Смирнов И.Н.</t>
  </si>
  <si>
    <t>Использование  денежных средств,    тыс. руб.</t>
  </si>
  <si>
    <t>Крюгер А/С - перенос в п.2.1.3</t>
  </si>
  <si>
    <t>ИП Смирнов В.Н. - перенос в п.2.1.3</t>
  </si>
  <si>
    <t>Директор МУП КХ "Водоканал"</t>
  </si>
  <si>
    <t>Иващенко А.Н.</t>
  </si>
  <si>
    <t>Заместитель директора по ОРП</t>
  </si>
  <si>
    <t>Говоровская В.Н.</t>
  </si>
  <si>
    <t>Левченко С.В.</t>
  </si>
  <si>
    <t>Начальник ОРПР</t>
  </si>
  <si>
    <t>Матусевич Н.П.</t>
  </si>
  <si>
    <t>Исполнители:</t>
  </si>
  <si>
    <t>Инженер 1 кат. ОРПР</t>
  </si>
  <si>
    <t>Мичурова Е.В.</t>
  </si>
  <si>
    <t>Заместитель главного бухгалтера</t>
  </si>
  <si>
    <t>Гладышева И.А.</t>
  </si>
  <si>
    <t>2.2.19</t>
  </si>
  <si>
    <t>Заместитель директора по экономике, финансам и контролю</t>
  </si>
  <si>
    <t>Поступление денежных средств,    тыс. руб.</t>
  </si>
  <si>
    <t>инженерной инфраструктуры МУП КХ «Водоканал» на расчётный срок до 2013г., после пересмотра (внесения изменений) утвержденной 08.02.2012г.</t>
  </si>
  <si>
    <t>2012 год</t>
  </si>
  <si>
    <t>кредитные обязательства</t>
  </si>
  <si>
    <t>Кредитные обязательства</t>
  </si>
  <si>
    <t>ЗАО "ГазпроммежрегионгазСанкт-Петербург"</t>
  </si>
  <si>
    <t>Янтарьэнерго ОАО</t>
  </si>
  <si>
    <t>РП "Строительство коллектора бытовой канализации по улицам 3-я Большая окружная - Герцена - Парковая аллея -островского в г. Калининграде"</t>
  </si>
  <si>
    <t>СВЕКО Ленводоканалпроект</t>
  </si>
  <si>
    <t xml:space="preserve">План,                         тыс. руб.   </t>
  </si>
  <si>
    <t>Балтийская Судоремонтная компания</t>
  </si>
  <si>
    <t>СВЕКО интернационал</t>
  </si>
  <si>
    <t>В разделе итого использовано (гр. 6) денежных средств на реализацию мероприятий инвестиционных проектов,</t>
  </si>
  <si>
    <t xml:space="preserve">НП "Фонд "Северное измерение" - оказал услуги по техническому надзору за строительством на сумму- </t>
  </si>
  <si>
    <t>ВЕТЛАН-строй ООО  в части НДС и удержания</t>
  </si>
  <si>
    <t>ВЕТЛАН-строй ООО  в части  удержания</t>
  </si>
  <si>
    <t>ГАУ КО "Центр проектных экспертиз" - эксп. РП</t>
  </si>
  <si>
    <t>ООО "Европроект и К"</t>
  </si>
  <si>
    <t>п.2.2.18. Реконструкция главного канализационного коллектора (7,8 км).</t>
  </si>
  <si>
    <t xml:space="preserve">Проведена государственная экспертиза проектной документации по реконструкции участка главного </t>
  </si>
  <si>
    <t>ООО "НИМБ-ПРОЕКТ" выполнил проектные работы по объекту "Разгрузочный коллектор по улице Гагарина в городе Калининграде" на сумму - 365,0 тыс. руб.</t>
  </si>
  <si>
    <t xml:space="preserve"> </t>
  </si>
  <si>
    <t>РП прошел государственную экспертизу в ГАУ КО "Центр проектных экспертиз" - 73,08 тыс. руб.</t>
  </si>
  <si>
    <t>канализационного коллектора в районе ул. Коломенской на сумму - 244,4 тыс. руб.</t>
  </si>
  <si>
    <t>ОАО "Калининградгазификация" - подключение газа</t>
  </si>
  <si>
    <t>ИП Нестерук А.В.</t>
  </si>
  <si>
    <t>ООО "НИМБ-ПРОЕКТ"</t>
  </si>
  <si>
    <t>ООО "ГЕОИД"</t>
  </si>
  <si>
    <t>п.2.2.7.  Реконструкция участка канализационного коллектора от ул. Алданской до КНС-4 в пос. А. Космодемьянского</t>
  </si>
  <si>
    <t>ООО "НИМБ-ПРОЕКТ" выполнил проектные работы на сумму - 152,6 тыс. руб.</t>
  </si>
  <si>
    <t>ГАУ КО "Центр проектных экспертиз" провел экспертизу ПД - 139,1 тыс. руб.</t>
  </si>
  <si>
    <t>ООО "ГЕОИД" - инженерные изыскания - 60,6 тыс. руб.</t>
  </si>
  <si>
    <t>ООО "НИМБ-ПРОЕКТ" выполнил проектные работы на сумму - 1 017,5 тыс. руб.</t>
  </si>
  <si>
    <t>2013 год</t>
  </si>
  <si>
    <t>Всего за 2011-2013 годы</t>
  </si>
  <si>
    <t>РЦЦС</t>
  </si>
  <si>
    <t>ИП Белешева Н.В.</t>
  </si>
  <si>
    <t>Объект подключен к электросетям МУП "ТЭЦ-8" - 2,752 тыс. руб.</t>
  </si>
  <si>
    <t>Генеральный подрядчик ООО "Ветлан-Строй" - выполнил работы на сумму - 0,00 тыс. руб..</t>
  </si>
  <si>
    <t>НЦ "Балтэкспертиза"</t>
  </si>
  <si>
    <t>ЗападГазЭнерго Инвест</t>
  </si>
  <si>
    <t>400,00 тыс. руб.</t>
  </si>
  <si>
    <t>НП Фонд "Северное измерение - консультационные услуги на сумму - 100,0 тыс. руб.</t>
  </si>
  <si>
    <t>ИП Белешева Н.В. - окозание услуг по координационому совету - 74,2 тыс. руб.</t>
  </si>
  <si>
    <t>РЦЦС- проверка смет на пусконаладочные работы - 129,125 тыс. руб.</t>
  </si>
  <si>
    <t>Калининградпромпроект</t>
  </si>
  <si>
    <t>Мальберг АВ</t>
  </si>
  <si>
    <t>Калининградское БТИ Плюс</t>
  </si>
  <si>
    <t>ООО "Строймонтаж"</t>
  </si>
  <si>
    <t>ООО "ПИРС"</t>
  </si>
  <si>
    <t>Генеральный подрядчик ООО "СК Монолит" - выполнил работы на сумму 33 509,1 тыс. руб.</t>
  </si>
  <si>
    <t>Погашены кредитные обязательства  в размере -2 094,769 тыс. руб.</t>
  </si>
  <si>
    <t>Технический надзор за строительством объекта  ООО "Стройспецназ" - 50,708 тыс. руб.</t>
  </si>
  <si>
    <t>Оформление  технических паспартов - 350,0 тыс. руб.</t>
  </si>
  <si>
    <t>Выплачены проценты Банка и Маржа Мифина  - 3 242,406 тыс. руб.</t>
  </si>
  <si>
    <t>ООО "НЦ "Балтэкспертиза" - проверка объемов по объекту - 1 821,41 тыс. руб.</t>
  </si>
  <si>
    <t>Консервация объекта  ООО "Строймонтаж" - 7 386,131 тыс. руб.</t>
  </si>
  <si>
    <t>Консультационные услуги по консервации объекта - 49,108 тыс. руб.</t>
  </si>
  <si>
    <t>Продолжается строительство очистных сооружений г. Калининграда, где генеральным подрядчиком выступает ОАО "Мостостройтрест №6" - 44 026,3 тыс. руб. за счет бюджетных средств.</t>
  </si>
  <si>
    <t>ЗАО "ПИ "Ленинградский Водоканалпроект" осуществил авторский надзор за объектом строительства и корректировку ПД - 2 536,997тыс. руб.</t>
  </si>
  <si>
    <t>ООО "Стройспецназ" осуществил технический надзор за объектом - 434,863 тыс. руб.</t>
  </si>
  <si>
    <t>Я.Н.С. Консалт - консультационные услуги по оформлению удостоверений технической помощи - 73,5 тыс. руб.</t>
  </si>
  <si>
    <t>Sweko International  - оказал услуги на  8 887,08 тыс. руб.</t>
  </si>
  <si>
    <t>ИП Нестерук А.В. - оказаны услуги по переводу с английского и на английский язык - 270,071 тыс. руб.</t>
  </si>
  <si>
    <t>Мальберг АВ - 2 028,412 тыс. руб.</t>
  </si>
  <si>
    <t>ГАУ КО "Центр проектных экспертиз" - экспертиза ПД - 353,667 тыс. руб.</t>
  </si>
  <si>
    <t>п.2.2.4. Подключение сетей канализации к разгрузочному коллектору № 1. /ШС-9,7,6,1/</t>
  </si>
  <si>
    <t>Строительно-монтажные работы - ООО "ЗападГазЭнергоИнвест" - 14 839,032 тыс. руб.</t>
  </si>
  <si>
    <t>Авторский надзор за строительством - ОАО "Калининградпромпроект" - 20,330 тыс. руб.</t>
  </si>
  <si>
    <t>ООО "Инженерная строительная компания" выполнила работы на сумму - 240,0 тыс. руб.</t>
  </si>
  <si>
    <r>
      <t>За 12 месяцев 2013г. заключено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276 </t>
    </r>
    <r>
      <rPr>
        <sz val="12"/>
        <rFont val="Times New Roman"/>
        <family val="1"/>
        <charset val="204"/>
      </rPr>
      <t>договора.</t>
    </r>
  </si>
  <si>
    <t xml:space="preserve">в разделе поступило денежных средств (гр. 5) за 2013 год в сумме 190 351.8 тыс.руб.:  </t>
  </si>
  <si>
    <t xml:space="preserve"> - в том числе собственные средства МУП КХ «Водоканал» в сумме 117 219,1 тыс. руб.</t>
  </si>
  <si>
    <t xml:space="preserve"> - в том числе получено бюджетных средств в сумме 73 132,7 тыс. руб.,</t>
  </si>
  <si>
    <t xml:space="preserve"> - в том числе использовано бюджетных средств на сумму 73 132,7 тыс.руб.</t>
  </si>
  <si>
    <t xml:space="preserve"> - в том числе собственные средства МУП КХ «Водоканал» в сумме 153 154,2 тыс. руб.</t>
  </si>
  <si>
    <t xml:space="preserve">В отчете по реализации Инвестиционной программы МУП КХ "Водоканал" в 2013 г. по итоговым данным </t>
  </si>
  <si>
    <t xml:space="preserve">было погашено обязательств и оплачено подрядчикам за выполнение работ по дог. за 2013г в сумме 226 286,9 т.р. </t>
  </si>
  <si>
    <t>за   2013 года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</si>
</sst>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53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i/>
      <sz val="11"/>
      <color indexed="14"/>
      <name val="Times New Roman"/>
      <family val="1"/>
      <charset val="204"/>
    </font>
    <font>
      <sz val="10"/>
      <color indexed="14"/>
      <name val="Arial Cyr"/>
      <charset val="204"/>
    </font>
    <font>
      <b/>
      <i/>
      <sz val="11"/>
      <color indexed="9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color indexed="46"/>
      <name val="Times New Roman"/>
      <family val="1"/>
      <charset val="204"/>
    </font>
    <font>
      <sz val="10"/>
      <color indexed="46"/>
      <name val="Arial Cyr"/>
      <charset val="204"/>
    </font>
    <font>
      <b/>
      <i/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Arial Cyr"/>
      <charset val="204"/>
    </font>
    <font>
      <sz val="1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46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4FCD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5">
    <xf numFmtId="0" fontId="0" fillId="0" borderId="0" xfId="0"/>
    <xf numFmtId="0" fontId="7" fillId="0" borderId="0" xfId="0" applyFont="1"/>
    <xf numFmtId="164" fontId="0" fillId="0" borderId="0" xfId="0" applyNumberFormat="1"/>
    <xf numFmtId="0" fontId="14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0" fontId="3" fillId="0" borderId="0" xfId="0" quotePrefix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2" borderId="1" xfId="0" quotePrefix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166" fontId="3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3" fillId="2" borderId="0" xfId="0" quotePrefix="1" applyNumberFormat="1" applyFont="1" applyFill="1" applyBorder="1" applyAlignment="1">
      <alignment horizontal="left"/>
    </xf>
    <xf numFmtId="164" fontId="3" fillId="2" borderId="0" xfId="0" quotePrefix="1" applyNumberFormat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30" fillId="0" borderId="1" xfId="0" applyFont="1" applyFill="1" applyBorder="1" applyAlignment="1">
      <alignment horizontal="left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0" fillId="4" borderId="0" xfId="0" applyFont="1" applyFill="1"/>
    <xf numFmtId="1" fontId="5" fillId="2" borderId="3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6" fillId="0" borderId="7" xfId="0" applyFont="1" applyFill="1" applyBorder="1" applyAlignment="1">
      <alignment horizontal="center" vertical="center" wrapText="1"/>
    </xf>
    <xf numFmtId="4" fontId="33" fillId="0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30" fillId="0" borderId="1" xfId="0" quotePrefix="1" applyFont="1" applyFill="1" applyBorder="1" applyAlignment="1">
      <alignment horizontal="left" wrapText="1"/>
    </xf>
    <xf numFmtId="4" fontId="30" fillId="0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horizontal="center" vertical="center" wrapText="1"/>
    </xf>
    <xf numFmtId="4" fontId="33" fillId="0" borderId="9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/>
    <xf numFmtId="0" fontId="30" fillId="0" borderId="4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/>
    </xf>
    <xf numFmtId="4" fontId="30" fillId="0" borderId="4" xfId="0" applyNumberFormat="1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/>
    </xf>
    <xf numFmtId="4" fontId="27" fillId="0" borderId="9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4" fontId="33" fillId="0" borderId="6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Fill="1" applyBorder="1" applyAlignment="1">
      <alignment horizontal="left" wrapText="1"/>
    </xf>
    <xf numFmtId="164" fontId="31" fillId="0" borderId="4" xfId="0" applyNumberFormat="1" applyFont="1" applyFill="1" applyBorder="1" applyAlignment="1">
      <alignment horizontal="center" vertical="center" wrapText="1"/>
    </xf>
    <xf numFmtId="164" fontId="33" fillId="0" borderId="4" xfId="0" applyNumberFormat="1" applyFont="1" applyFill="1" applyBorder="1" applyAlignment="1">
      <alignment horizontal="center" vertical="center" wrapText="1"/>
    </xf>
    <xf numFmtId="164" fontId="32" fillId="0" borderId="4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quotePrefix="1" applyFont="1" applyAlignment="1">
      <alignment horizontal="left"/>
    </xf>
    <xf numFmtId="0" fontId="39" fillId="0" borderId="0" xfId="0" applyFont="1" applyAlignment="1">
      <alignment wrapText="1"/>
    </xf>
    <xf numFmtId="0" fontId="0" fillId="0" borderId="0" xfId="0" applyFont="1"/>
    <xf numFmtId="4" fontId="30" fillId="0" borderId="1" xfId="0" applyNumberFormat="1" applyFont="1" applyFill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3" fillId="0" borderId="0" xfId="0" quotePrefix="1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" fontId="33" fillId="0" borderId="9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Border="1" applyAlignment="1">
      <alignment horizontal="center"/>
    </xf>
    <xf numFmtId="4" fontId="30" fillId="0" borderId="9" xfId="0" applyNumberFormat="1" applyFont="1" applyFill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164" fontId="33" fillId="0" borderId="6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/>
    <xf numFmtId="0" fontId="27" fillId="0" borderId="2" xfId="0" applyFont="1" applyBorder="1"/>
    <xf numFmtId="0" fontId="27" fillId="0" borderId="4" xfId="0" applyFont="1" applyBorder="1"/>
    <xf numFmtId="0" fontId="27" fillId="0" borderId="3" xfId="0" applyFont="1" applyBorder="1"/>
    <xf numFmtId="0" fontId="27" fillId="0" borderId="2" xfId="0" applyFont="1" applyBorder="1" applyAlignment="1">
      <alignment horizontal="center" vertical="center" textRotation="90" wrapText="1"/>
    </xf>
    <xf numFmtId="0" fontId="43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9" fontId="27" fillId="0" borderId="0" xfId="0" applyNumberFormat="1" applyFont="1" applyAlignment="1">
      <alignment horizontal="right" vertical="top"/>
    </xf>
    <xf numFmtId="0" fontId="27" fillId="0" borderId="1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0" xfId="0" applyFont="1"/>
    <xf numFmtId="0" fontId="34" fillId="0" borderId="0" xfId="0" applyFont="1"/>
    <xf numFmtId="0" fontId="34" fillId="0" borderId="0" xfId="0" applyFont="1" applyFill="1"/>
    <xf numFmtId="164" fontId="34" fillId="0" borderId="0" xfId="0" applyNumberFormat="1" applyFont="1" applyFill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Fill="1" applyBorder="1" applyAlignment="1">
      <alignment horizontal="center" vertical="center" textRotation="90" wrapText="1"/>
    </xf>
    <xf numFmtId="0" fontId="45" fillId="0" borderId="0" xfId="0" applyFont="1" applyBorder="1" applyAlignment="1"/>
    <xf numFmtId="164" fontId="6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4" fontId="47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33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3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0" fillId="0" borderId="4" xfId="0" applyNumberFormat="1" applyFont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3" fillId="0" borderId="4" xfId="0" applyNumberFormat="1" applyFont="1" applyBorder="1" applyAlignment="1">
      <alignment horizontal="center"/>
    </xf>
    <xf numFmtId="4" fontId="48" fillId="0" borderId="4" xfId="0" applyNumberFormat="1" applyFont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164" fontId="27" fillId="0" borderId="4" xfId="0" applyNumberFormat="1" applyFont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48" fillId="0" borderId="9" xfId="0" applyNumberFormat="1" applyFont="1" applyFill="1" applyBorder="1" applyAlignment="1">
      <alignment horizontal="center" vertical="center" wrapText="1"/>
    </xf>
    <xf numFmtId="4" fontId="48" fillId="0" borderId="9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/>
    <xf numFmtId="4" fontId="30" fillId="0" borderId="9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9" fillId="0" borderId="0" xfId="0" applyFont="1" applyAlignment="1"/>
    <xf numFmtId="0" fontId="3" fillId="0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5" fontId="33" fillId="0" borderId="9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165" fontId="30" fillId="0" borderId="4" xfId="0" applyNumberFormat="1" applyFont="1" applyFill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30" fillId="0" borderId="9" xfId="0" applyNumberFormat="1" applyFont="1" applyBorder="1" applyAlignment="1">
      <alignment horizontal="center"/>
    </xf>
    <xf numFmtId="0" fontId="3" fillId="7" borderId="3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9" fillId="0" borderId="0" xfId="0" applyFont="1"/>
    <xf numFmtId="0" fontId="27" fillId="0" borderId="4" xfId="0" applyFont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8" fillId="2" borderId="3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49" fontId="6" fillId="2" borderId="3" xfId="0" quotePrefix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4" xfId="0" applyBorder="1"/>
    <xf numFmtId="0" fontId="5" fillId="2" borderId="3" xfId="0" quotePrefix="1" applyFont="1" applyFill="1" applyBorder="1" applyAlignment="1">
      <alignment horizontal="center" vertical="center" textRotation="90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0" fontId="5" fillId="2" borderId="4" xfId="0" quotePrefix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164" fontId="0" fillId="0" borderId="3" xfId="0" applyNumberFormat="1" applyBorder="1" applyAlignment="1"/>
    <xf numFmtId="16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164" fontId="21" fillId="2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5" fillId="2" borderId="6" xfId="0" applyFont="1" applyFill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textRotation="90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35" fillId="0" borderId="3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textRotation="90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4" fillId="0" borderId="4" xfId="0" applyFont="1" applyBorder="1" applyAlignment="1">
      <alignment horizontal="center" vertical="center" textRotation="90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4" xfId="0" applyFont="1" applyBorder="1" applyAlignment="1">
      <alignment horizontal="center" vertical="center" textRotation="90" wrapText="1"/>
    </xf>
    <xf numFmtId="0" fontId="27" fillId="0" borderId="4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164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2" xfId="0" quotePrefix="1" applyFont="1" applyFill="1" applyBorder="1" applyAlignment="1">
      <alignment horizontal="center" vertical="center" wrapText="1"/>
    </xf>
    <xf numFmtId="0" fontId="28" fillId="2" borderId="4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7" fillId="0" borderId="4" xfId="0" applyFont="1" applyBorder="1"/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left" wrapText="1"/>
    </xf>
    <xf numFmtId="0" fontId="41" fillId="0" borderId="7" xfId="0" applyFont="1" applyBorder="1" applyAlignment="1">
      <alignment horizontal="left" wrapText="1"/>
    </xf>
    <xf numFmtId="0" fontId="27" fillId="0" borderId="3" xfId="0" applyFont="1" applyBorder="1" applyAlignment="1"/>
    <xf numFmtId="0" fontId="27" fillId="0" borderId="2" xfId="0" applyFont="1" applyBorder="1" applyAlignment="1"/>
    <xf numFmtId="0" fontId="27" fillId="0" borderId="4" xfId="0" applyFont="1" applyBorder="1" applyAlignment="1"/>
    <xf numFmtId="0" fontId="3" fillId="5" borderId="6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3" fillId="0" borderId="3" xfId="0" quotePrefix="1" applyFont="1" applyFill="1" applyBorder="1" applyAlignment="1">
      <alignment horizontal="center" vertical="center" textRotation="90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45" fillId="0" borderId="3" xfId="0" applyNumberFormat="1" applyFont="1" applyBorder="1" applyAlignment="1"/>
    <xf numFmtId="0" fontId="45" fillId="0" borderId="2" xfId="0" applyFont="1" applyBorder="1" applyAlignment="1"/>
    <xf numFmtId="0" fontId="45" fillId="0" borderId="4" xfId="0" applyFont="1" applyBorder="1" applyAlignment="1"/>
    <xf numFmtId="0" fontId="47" fillId="0" borderId="4" xfId="0" applyFont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textRotation="90" wrapText="1"/>
    </xf>
    <xf numFmtId="0" fontId="45" fillId="0" borderId="4" xfId="0" applyFont="1" applyFill="1" applyBorder="1" applyAlignment="1">
      <alignment horizontal="center" vertical="center" textRotation="90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3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4FCD1"/>
      <color rgb="FFFF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1"/>
  <sheetViews>
    <sheetView zoomScaleNormal="100" zoomScaleSheetLayoutView="120" workbookViewId="0">
      <selection activeCell="A5" sqref="A5:A6"/>
    </sheetView>
  </sheetViews>
  <sheetFormatPr defaultRowHeight="12.75"/>
  <cols>
    <col min="1" max="1" width="6.5703125" customWidth="1"/>
    <col min="2" max="2" width="48.85546875" customWidth="1"/>
    <col min="3" max="3" width="5.28515625" hidden="1" customWidth="1"/>
    <col min="4" max="4" width="14.28515625" hidden="1" customWidth="1"/>
    <col min="5" max="5" width="6.42578125" style="50" hidden="1" customWidth="1"/>
    <col min="6" max="6" width="6.28515625" style="50" hidden="1" customWidth="1"/>
    <col min="7" max="7" width="12.42578125" style="24" customWidth="1"/>
    <col min="8" max="8" width="11" style="24" hidden="1" customWidth="1"/>
    <col min="9" max="9" width="12.42578125" style="24" hidden="1" customWidth="1"/>
    <col min="10" max="15" width="11" style="24" hidden="1" customWidth="1"/>
    <col min="16" max="19" width="11" style="24" customWidth="1"/>
    <col min="20" max="23" width="11" style="24" hidden="1" customWidth="1"/>
    <col min="24" max="24" width="11.7109375" style="24" hidden="1" customWidth="1"/>
    <col min="25" max="25" width="10.85546875" style="24" hidden="1" customWidth="1"/>
    <col min="26" max="26" width="14.140625" customWidth="1"/>
    <col min="27" max="27" width="11.85546875" customWidth="1"/>
    <col min="28" max="28" width="9.140625" customWidth="1"/>
    <col min="29" max="29" width="2.85546875" customWidth="1"/>
  </cols>
  <sheetData>
    <row r="1" spans="1:27" ht="10.5" customHeight="1"/>
    <row r="2" spans="1:27" ht="15.75">
      <c r="A2" s="291" t="s">
        <v>151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</row>
    <row r="3" spans="1:27" ht="15.75" customHeight="1">
      <c r="A3" s="292" t="s">
        <v>202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</row>
    <row r="4" spans="1:27" ht="24" customHeight="1">
      <c r="A4" s="291" t="s">
        <v>279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74" t="s">
        <v>133</v>
      </c>
    </row>
    <row r="5" spans="1:27" ht="13.5" customHeight="1">
      <c r="A5" s="294" t="s">
        <v>222</v>
      </c>
      <c r="B5" s="294" t="s">
        <v>11</v>
      </c>
      <c r="C5" s="294" t="s">
        <v>34</v>
      </c>
      <c r="D5" s="294" t="s">
        <v>35</v>
      </c>
      <c r="E5" s="294" t="s">
        <v>36</v>
      </c>
      <c r="F5" s="294" t="s">
        <v>44</v>
      </c>
      <c r="G5" s="331" t="s">
        <v>150</v>
      </c>
      <c r="H5" s="344" t="s">
        <v>147</v>
      </c>
      <c r="I5" s="345"/>
      <c r="J5" s="345"/>
      <c r="K5" s="346"/>
      <c r="L5" s="344" t="s">
        <v>203</v>
      </c>
      <c r="M5" s="345"/>
      <c r="N5" s="345"/>
      <c r="O5" s="346"/>
      <c r="P5" s="344" t="s">
        <v>234</v>
      </c>
      <c r="Q5" s="345"/>
      <c r="R5" s="345"/>
      <c r="S5" s="346"/>
      <c r="T5" s="344" t="s">
        <v>235</v>
      </c>
      <c r="U5" s="345"/>
      <c r="V5" s="345"/>
      <c r="W5" s="346"/>
      <c r="X5" s="77"/>
      <c r="Y5" s="77"/>
      <c r="Z5" s="294" t="s">
        <v>24</v>
      </c>
    </row>
    <row r="6" spans="1:27" ht="66" customHeight="1">
      <c r="A6" s="295"/>
      <c r="B6" s="295"/>
      <c r="C6" s="295"/>
      <c r="D6" s="295"/>
      <c r="E6" s="297"/>
      <c r="F6" s="297"/>
      <c r="G6" s="309"/>
      <c r="H6" s="79" t="s">
        <v>148</v>
      </c>
      <c r="I6" s="79" t="s">
        <v>149</v>
      </c>
      <c r="J6" s="79" t="s">
        <v>201</v>
      </c>
      <c r="K6" s="79" t="s">
        <v>184</v>
      </c>
      <c r="L6" s="79" t="s">
        <v>148</v>
      </c>
      <c r="M6" s="79" t="s">
        <v>149</v>
      </c>
      <c r="N6" s="79" t="s">
        <v>201</v>
      </c>
      <c r="O6" s="79" t="s">
        <v>184</v>
      </c>
      <c r="P6" s="79" t="s">
        <v>148</v>
      </c>
      <c r="Q6" s="79" t="s">
        <v>149</v>
      </c>
      <c r="R6" s="79" t="s">
        <v>201</v>
      </c>
      <c r="S6" s="79" t="s">
        <v>184</v>
      </c>
      <c r="T6" s="79" t="s">
        <v>148</v>
      </c>
      <c r="U6" s="79" t="s">
        <v>149</v>
      </c>
      <c r="V6" s="79" t="s">
        <v>201</v>
      </c>
      <c r="W6" s="79" t="s">
        <v>184</v>
      </c>
      <c r="X6" s="10">
        <v>2012</v>
      </c>
      <c r="Y6" s="10">
        <v>2013</v>
      </c>
      <c r="Z6" s="295"/>
    </row>
    <row r="7" spans="1:2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>
        <v>9</v>
      </c>
      <c r="Y7" s="11">
        <v>10</v>
      </c>
      <c r="Z7" s="11">
        <v>11</v>
      </c>
    </row>
    <row r="8" spans="1:27" ht="37.5" customHeight="1">
      <c r="A8" s="38">
        <v>1</v>
      </c>
      <c r="B8" s="380" t="s">
        <v>61</v>
      </c>
      <c r="C8" s="381"/>
      <c r="D8" s="381"/>
      <c r="E8" s="381"/>
      <c r="F8" s="381"/>
      <c r="G8" s="381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3"/>
    </row>
    <row r="9" spans="1:27" ht="14.25">
      <c r="A9" s="81">
        <v>1.1000000000000001</v>
      </c>
      <c r="B9" s="80" t="s">
        <v>62</v>
      </c>
      <c r="C9" s="11"/>
      <c r="D9" s="11"/>
      <c r="E9" s="42"/>
      <c r="F9" s="4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39"/>
    </row>
    <row r="10" spans="1:27" ht="15" customHeight="1">
      <c r="A10" s="320" t="s">
        <v>63</v>
      </c>
      <c r="B10" s="13" t="s">
        <v>125</v>
      </c>
      <c r="C10" s="385" t="s">
        <v>43</v>
      </c>
      <c r="D10" s="334" t="s">
        <v>48</v>
      </c>
      <c r="E10" s="328">
        <v>30</v>
      </c>
      <c r="F10" s="328" t="s">
        <v>17</v>
      </c>
      <c r="G10" s="25">
        <f>G11+G13+G15+G19+G20</f>
        <v>44250.600000000006</v>
      </c>
      <c r="H10" s="25">
        <f>H11+H13+H15+H19+H20</f>
        <v>0</v>
      </c>
      <c r="I10" s="26"/>
      <c r="J10" s="26"/>
      <c r="K10" s="26"/>
      <c r="L10" s="25">
        <f>L11+L13+L15+L19+L20</f>
        <v>14750.2</v>
      </c>
      <c r="M10" s="26"/>
      <c r="N10" s="26"/>
      <c r="O10" s="26"/>
      <c r="P10" s="25">
        <f>P11+P13+P15+P19+P20</f>
        <v>0</v>
      </c>
      <c r="Q10" s="26"/>
      <c r="R10" s="26"/>
      <c r="S10" s="26"/>
      <c r="T10" s="26">
        <f>L10+H10</f>
        <v>14750.2</v>
      </c>
      <c r="U10" s="26"/>
      <c r="V10" s="26"/>
      <c r="W10" s="26"/>
      <c r="X10" s="26"/>
      <c r="Y10" s="26"/>
      <c r="Z10" s="349"/>
    </row>
    <row r="11" spans="1:27" ht="15" customHeight="1">
      <c r="A11" s="314"/>
      <c r="B11" s="22" t="s">
        <v>126</v>
      </c>
      <c r="C11" s="338"/>
      <c r="D11" s="384"/>
      <c r="E11" s="308"/>
      <c r="F11" s="308"/>
      <c r="G11" s="323">
        <f>SUM(H11:Y11)</f>
        <v>44250.600000000006</v>
      </c>
      <c r="H11" s="323"/>
      <c r="I11" s="27"/>
      <c r="J11" s="27"/>
      <c r="K11" s="27"/>
      <c r="L11" s="323">
        <v>14750.2</v>
      </c>
      <c r="M11" s="143"/>
      <c r="N11" s="143"/>
      <c r="O11" s="143"/>
      <c r="P11" s="323">
        <v>0</v>
      </c>
      <c r="Q11" s="245"/>
      <c r="R11" s="245"/>
      <c r="S11" s="245"/>
      <c r="T11" s="323">
        <f t="shared" ref="T11:T64" si="0">L11+H11</f>
        <v>14750.2</v>
      </c>
      <c r="U11" s="143"/>
      <c r="V11" s="143"/>
      <c r="W11" s="143"/>
      <c r="X11" s="323">
        <v>14750.2</v>
      </c>
      <c r="Y11" s="323"/>
      <c r="Z11" s="350"/>
      <c r="AA11" s="2"/>
    </row>
    <row r="12" spans="1:27" ht="15" customHeight="1">
      <c r="A12" s="314"/>
      <c r="B12" s="68" t="s">
        <v>107</v>
      </c>
      <c r="C12" s="338"/>
      <c r="D12" s="384"/>
      <c r="E12" s="308"/>
      <c r="F12" s="308"/>
      <c r="G12" s="297"/>
      <c r="H12" s="297"/>
      <c r="I12" s="37"/>
      <c r="J12" s="37"/>
      <c r="K12" s="37"/>
      <c r="L12" s="297"/>
      <c r="M12" s="142"/>
      <c r="N12" s="142"/>
      <c r="O12" s="142"/>
      <c r="P12" s="297"/>
      <c r="Q12" s="246"/>
      <c r="R12" s="246"/>
      <c r="S12" s="246"/>
      <c r="T12" s="297">
        <f t="shared" si="0"/>
        <v>0</v>
      </c>
      <c r="U12" s="142"/>
      <c r="V12" s="142"/>
      <c r="W12" s="142"/>
      <c r="X12" s="297"/>
      <c r="Y12" s="297"/>
      <c r="Z12" s="350"/>
      <c r="AA12" s="2"/>
    </row>
    <row r="13" spans="1:27" ht="15" customHeight="1">
      <c r="A13" s="314"/>
      <c r="B13" s="23" t="s">
        <v>29</v>
      </c>
      <c r="C13" s="338"/>
      <c r="D13" s="384"/>
      <c r="E13" s="308"/>
      <c r="F13" s="308"/>
      <c r="G13" s="20">
        <v>0</v>
      </c>
      <c r="H13" s="37"/>
      <c r="I13" s="37"/>
      <c r="J13" s="37"/>
      <c r="K13" s="37"/>
      <c r="L13" s="150">
        <v>0</v>
      </c>
      <c r="M13" s="142"/>
      <c r="N13" s="142"/>
      <c r="O13" s="142"/>
      <c r="P13" s="254">
        <v>0</v>
      </c>
      <c r="Q13" s="246"/>
      <c r="R13" s="246"/>
      <c r="S13" s="246"/>
      <c r="T13" s="26">
        <f t="shared" si="0"/>
        <v>0</v>
      </c>
      <c r="U13" s="142"/>
      <c r="V13" s="142"/>
      <c r="W13" s="142"/>
      <c r="X13" s="37"/>
      <c r="Y13" s="37"/>
      <c r="Z13" s="350"/>
      <c r="AA13" s="2"/>
    </row>
    <row r="14" spans="1:27" ht="15" customHeight="1">
      <c r="A14" s="314"/>
      <c r="B14" s="41" t="s">
        <v>39</v>
      </c>
      <c r="C14" s="338"/>
      <c r="D14" s="384"/>
      <c r="E14" s="308"/>
      <c r="F14" s="308"/>
      <c r="G14" s="48">
        <v>0</v>
      </c>
      <c r="H14" s="37"/>
      <c r="I14" s="37"/>
      <c r="J14" s="37"/>
      <c r="K14" s="37"/>
      <c r="L14" s="151">
        <v>0</v>
      </c>
      <c r="M14" s="142"/>
      <c r="N14" s="142"/>
      <c r="O14" s="142"/>
      <c r="P14" s="253">
        <v>0</v>
      </c>
      <c r="Q14" s="246"/>
      <c r="R14" s="246"/>
      <c r="S14" s="246"/>
      <c r="T14" s="26">
        <f t="shared" si="0"/>
        <v>0</v>
      </c>
      <c r="U14" s="142"/>
      <c r="V14" s="142"/>
      <c r="W14" s="142"/>
      <c r="X14" s="37"/>
      <c r="Y14" s="37"/>
      <c r="Z14" s="350"/>
      <c r="AA14" s="2"/>
    </row>
    <row r="15" spans="1:27" ht="15" customHeight="1">
      <c r="A15" s="314"/>
      <c r="B15" s="23" t="s">
        <v>30</v>
      </c>
      <c r="C15" s="338"/>
      <c r="D15" s="384"/>
      <c r="E15" s="308"/>
      <c r="F15" s="308"/>
      <c r="G15" s="20">
        <v>0</v>
      </c>
      <c r="H15" s="37"/>
      <c r="I15" s="37"/>
      <c r="J15" s="37"/>
      <c r="K15" s="37"/>
      <c r="L15" s="150">
        <v>0</v>
      </c>
      <c r="M15" s="142"/>
      <c r="N15" s="142"/>
      <c r="O15" s="142"/>
      <c r="P15" s="254">
        <v>0</v>
      </c>
      <c r="Q15" s="246"/>
      <c r="R15" s="246"/>
      <c r="S15" s="246"/>
      <c r="T15" s="26">
        <f t="shared" si="0"/>
        <v>0</v>
      </c>
      <c r="U15" s="142"/>
      <c r="V15" s="142"/>
      <c r="W15" s="142"/>
      <c r="X15" s="37"/>
      <c r="Y15" s="37"/>
      <c r="Z15" s="350"/>
      <c r="AA15" s="2"/>
    </row>
    <row r="16" spans="1:27">
      <c r="A16" s="314"/>
      <c r="B16" s="41" t="s">
        <v>31</v>
      </c>
      <c r="C16" s="338"/>
      <c r="D16" s="384"/>
      <c r="E16" s="308"/>
      <c r="F16" s="308"/>
      <c r="G16" s="48">
        <v>0</v>
      </c>
      <c r="H16" s="20"/>
      <c r="I16" s="20"/>
      <c r="J16" s="20"/>
      <c r="K16" s="20"/>
      <c r="L16" s="151">
        <v>0</v>
      </c>
      <c r="M16" s="150"/>
      <c r="N16" s="150"/>
      <c r="O16" s="150"/>
      <c r="P16" s="253">
        <v>0</v>
      </c>
      <c r="Q16" s="254"/>
      <c r="R16" s="254"/>
      <c r="S16" s="254"/>
      <c r="T16" s="26">
        <f t="shared" si="0"/>
        <v>0</v>
      </c>
      <c r="U16" s="150"/>
      <c r="V16" s="150"/>
      <c r="W16" s="150"/>
      <c r="X16" s="20"/>
      <c r="Y16" s="20"/>
      <c r="Z16" s="350"/>
    </row>
    <row r="17" spans="1:27">
      <c r="A17" s="314"/>
      <c r="B17" s="41" t="s">
        <v>32</v>
      </c>
      <c r="C17" s="338"/>
      <c r="D17" s="384"/>
      <c r="E17" s="308"/>
      <c r="F17" s="308"/>
      <c r="G17" s="48">
        <v>0</v>
      </c>
      <c r="H17" s="20"/>
      <c r="I17" s="20"/>
      <c r="J17" s="20"/>
      <c r="K17" s="20"/>
      <c r="L17" s="151">
        <v>0</v>
      </c>
      <c r="M17" s="150"/>
      <c r="N17" s="150"/>
      <c r="O17" s="150"/>
      <c r="P17" s="253">
        <v>0</v>
      </c>
      <c r="Q17" s="254"/>
      <c r="R17" s="254"/>
      <c r="S17" s="254"/>
      <c r="T17" s="26">
        <f t="shared" si="0"/>
        <v>0</v>
      </c>
      <c r="U17" s="150"/>
      <c r="V17" s="150"/>
      <c r="W17" s="150"/>
      <c r="X17" s="20"/>
      <c r="Y17" s="20"/>
      <c r="Z17" s="350"/>
    </row>
    <row r="18" spans="1:27">
      <c r="A18" s="314"/>
      <c r="B18" s="41" t="s">
        <v>33</v>
      </c>
      <c r="C18" s="338"/>
      <c r="D18" s="384"/>
      <c r="E18" s="308"/>
      <c r="F18" s="308"/>
      <c r="G18" s="48">
        <v>0</v>
      </c>
      <c r="H18" s="48"/>
      <c r="I18" s="48"/>
      <c r="J18" s="48"/>
      <c r="K18" s="48"/>
      <c r="L18" s="151">
        <v>0</v>
      </c>
      <c r="M18" s="151"/>
      <c r="N18" s="151"/>
      <c r="O18" s="151"/>
      <c r="P18" s="253">
        <v>0</v>
      </c>
      <c r="Q18" s="253"/>
      <c r="R18" s="253"/>
      <c r="S18" s="253"/>
      <c r="T18" s="26">
        <f t="shared" si="0"/>
        <v>0</v>
      </c>
      <c r="U18" s="151"/>
      <c r="V18" s="151"/>
      <c r="W18" s="151"/>
      <c r="X18" s="20"/>
      <c r="Y18" s="20"/>
      <c r="Z18" s="350"/>
    </row>
    <row r="19" spans="1:27">
      <c r="A19" s="314"/>
      <c r="B19" s="23" t="s">
        <v>37</v>
      </c>
      <c r="C19" s="318"/>
      <c r="D19" s="308"/>
      <c r="E19" s="308"/>
      <c r="F19" s="308"/>
      <c r="G19" s="20">
        <v>0</v>
      </c>
      <c r="H19" s="20"/>
      <c r="I19" s="20"/>
      <c r="J19" s="20"/>
      <c r="K19" s="20"/>
      <c r="L19" s="150">
        <v>0</v>
      </c>
      <c r="M19" s="150"/>
      <c r="N19" s="150"/>
      <c r="O19" s="150"/>
      <c r="P19" s="254">
        <v>0</v>
      </c>
      <c r="Q19" s="254"/>
      <c r="R19" s="254"/>
      <c r="S19" s="254"/>
      <c r="T19" s="26">
        <f t="shared" si="0"/>
        <v>0</v>
      </c>
      <c r="U19" s="150"/>
      <c r="V19" s="150"/>
      <c r="W19" s="150"/>
      <c r="X19" s="20"/>
      <c r="Y19" s="20"/>
      <c r="Z19" s="350"/>
    </row>
    <row r="20" spans="1:27">
      <c r="A20" s="315"/>
      <c r="B20" s="23" t="s">
        <v>38</v>
      </c>
      <c r="C20" s="319"/>
      <c r="D20" s="309"/>
      <c r="E20" s="309"/>
      <c r="F20" s="309"/>
      <c r="G20" s="20">
        <v>0</v>
      </c>
      <c r="H20" s="20"/>
      <c r="I20" s="20"/>
      <c r="J20" s="20"/>
      <c r="K20" s="20"/>
      <c r="L20" s="150">
        <v>0</v>
      </c>
      <c r="M20" s="150"/>
      <c r="N20" s="150"/>
      <c r="O20" s="150"/>
      <c r="P20" s="254">
        <v>0</v>
      </c>
      <c r="Q20" s="254"/>
      <c r="R20" s="254"/>
      <c r="S20" s="254"/>
      <c r="T20" s="26">
        <f t="shared" si="0"/>
        <v>0</v>
      </c>
      <c r="U20" s="150"/>
      <c r="V20" s="150"/>
      <c r="W20" s="150"/>
      <c r="X20" s="20"/>
      <c r="Y20" s="20"/>
      <c r="Z20" s="351"/>
    </row>
    <row r="21" spans="1:27" ht="36.75" hidden="1" customHeight="1">
      <c r="A21" s="320" t="s">
        <v>64</v>
      </c>
      <c r="B21" s="13"/>
      <c r="C21" s="337" t="s">
        <v>43</v>
      </c>
      <c r="D21" s="334" t="s">
        <v>47</v>
      </c>
      <c r="E21" s="294">
        <v>60</v>
      </c>
      <c r="F21" s="294" t="s">
        <v>17</v>
      </c>
      <c r="G21" s="25">
        <f>G22+G24+G26+G30+G31</f>
        <v>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26">
        <f t="shared" si="0"/>
        <v>0</v>
      </c>
      <c r="U21" s="33"/>
      <c r="V21" s="33"/>
      <c r="W21" s="33"/>
      <c r="X21" s="33"/>
      <c r="Y21" s="33"/>
      <c r="Z21" s="349"/>
      <c r="AA21" s="2"/>
    </row>
    <row r="22" spans="1:27" ht="15.75" hidden="1" customHeight="1">
      <c r="A22" s="314"/>
      <c r="B22" s="22" t="s">
        <v>126</v>
      </c>
      <c r="C22" s="338"/>
      <c r="D22" s="308"/>
      <c r="E22" s="352"/>
      <c r="F22" s="352"/>
      <c r="G22" s="323">
        <f>SUM(H22:Y23)</f>
        <v>0</v>
      </c>
      <c r="H22" s="357"/>
      <c r="I22" s="78"/>
      <c r="J22" s="78"/>
      <c r="K22" s="78"/>
      <c r="L22" s="147"/>
      <c r="M22" s="147"/>
      <c r="N22" s="147"/>
      <c r="O22" s="147"/>
      <c r="P22" s="249"/>
      <c r="Q22" s="249"/>
      <c r="R22" s="249"/>
      <c r="S22" s="249"/>
      <c r="T22" s="26">
        <f t="shared" si="0"/>
        <v>0</v>
      </c>
      <c r="U22" s="147"/>
      <c r="V22" s="147"/>
      <c r="W22" s="147"/>
      <c r="X22" s="323"/>
      <c r="Y22" s="323"/>
      <c r="Z22" s="350"/>
    </row>
    <row r="23" spans="1:27" ht="15.75" hidden="1" customHeight="1">
      <c r="A23" s="314"/>
      <c r="B23" s="68" t="s">
        <v>107</v>
      </c>
      <c r="C23" s="338"/>
      <c r="D23" s="308"/>
      <c r="E23" s="352"/>
      <c r="F23" s="352"/>
      <c r="G23" s="297"/>
      <c r="H23" s="297"/>
      <c r="I23" s="37"/>
      <c r="J23" s="37"/>
      <c r="K23" s="37"/>
      <c r="L23" s="142"/>
      <c r="M23" s="142"/>
      <c r="N23" s="142"/>
      <c r="O23" s="142"/>
      <c r="P23" s="246"/>
      <c r="Q23" s="246"/>
      <c r="R23" s="246"/>
      <c r="S23" s="246"/>
      <c r="T23" s="26">
        <f t="shared" si="0"/>
        <v>0</v>
      </c>
      <c r="U23" s="142"/>
      <c r="V23" s="142"/>
      <c r="W23" s="142"/>
      <c r="X23" s="297"/>
      <c r="Y23" s="297"/>
      <c r="Z23" s="350"/>
    </row>
    <row r="24" spans="1:27" ht="15.75" hidden="1" customHeight="1">
      <c r="A24" s="314"/>
      <c r="B24" s="23" t="s">
        <v>29</v>
      </c>
      <c r="C24" s="338"/>
      <c r="D24" s="308"/>
      <c r="E24" s="352"/>
      <c r="F24" s="352"/>
      <c r="G24" s="20">
        <f>SUM(G25)</f>
        <v>0</v>
      </c>
      <c r="H24" s="37"/>
      <c r="I24" s="37"/>
      <c r="J24" s="37"/>
      <c r="K24" s="37"/>
      <c r="L24" s="142"/>
      <c r="M24" s="142"/>
      <c r="N24" s="142"/>
      <c r="O24" s="142"/>
      <c r="P24" s="246"/>
      <c r="Q24" s="246"/>
      <c r="R24" s="246"/>
      <c r="S24" s="246"/>
      <c r="T24" s="26">
        <f t="shared" si="0"/>
        <v>0</v>
      </c>
      <c r="U24" s="142"/>
      <c r="V24" s="142"/>
      <c r="W24" s="142"/>
      <c r="X24" s="37"/>
      <c r="Y24" s="37"/>
      <c r="Z24" s="350"/>
    </row>
    <row r="25" spans="1:27" ht="12.75" hidden="1" customHeight="1">
      <c r="A25" s="314"/>
      <c r="B25" s="44" t="s">
        <v>39</v>
      </c>
      <c r="C25" s="338"/>
      <c r="D25" s="308"/>
      <c r="E25" s="352"/>
      <c r="F25" s="352"/>
      <c r="G25" s="48">
        <f>H25+X25+Y25</f>
        <v>0</v>
      </c>
      <c r="H25" s="48"/>
      <c r="I25" s="48"/>
      <c r="J25" s="48"/>
      <c r="K25" s="48"/>
      <c r="L25" s="151"/>
      <c r="M25" s="151"/>
      <c r="N25" s="151"/>
      <c r="O25" s="151"/>
      <c r="P25" s="253"/>
      <c r="Q25" s="253"/>
      <c r="R25" s="253"/>
      <c r="S25" s="253"/>
      <c r="T25" s="26">
        <f t="shared" si="0"/>
        <v>0</v>
      </c>
      <c r="U25" s="151"/>
      <c r="V25" s="151"/>
      <c r="W25" s="151"/>
      <c r="X25" s="48"/>
      <c r="Y25" s="52"/>
      <c r="Z25" s="350"/>
    </row>
    <row r="26" spans="1:27" ht="12.75" hidden="1" customHeight="1">
      <c r="A26" s="314"/>
      <c r="B26" s="23" t="s">
        <v>30</v>
      </c>
      <c r="C26" s="338"/>
      <c r="D26" s="308"/>
      <c r="E26" s="352"/>
      <c r="F26" s="352"/>
      <c r="G26" s="20">
        <f>SUM(G27:G29)</f>
        <v>0</v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26">
        <f t="shared" si="0"/>
        <v>0</v>
      </c>
      <c r="U26" s="66"/>
      <c r="V26" s="66"/>
      <c r="W26" s="66"/>
      <c r="X26" s="66"/>
      <c r="Y26" s="37"/>
      <c r="Z26" s="350"/>
    </row>
    <row r="27" spans="1:27" hidden="1">
      <c r="A27" s="314"/>
      <c r="B27" s="41" t="s">
        <v>31</v>
      </c>
      <c r="C27" s="338"/>
      <c r="D27" s="308"/>
      <c r="E27" s="352"/>
      <c r="F27" s="352"/>
      <c r="G27" s="48">
        <f>SUM(H27:Y27)</f>
        <v>0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26">
        <f t="shared" si="0"/>
        <v>0</v>
      </c>
      <c r="U27" s="52"/>
      <c r="V27" s="52"/>
      <c r="W27" s="52"/>
      <c r="X27" s="52"/>
      <c r="Y27" s="47"/>
      <c r="Z27" s="350"/>
    </row>
    <row r="28" spans="1:27" hidden="1">
      <c r="A28" s="314"/>
      <c r="B28" s="41" t="s">
        <v>32</v>
      </c>
      <c r="C28" s="338"/>
      <c r="D28" s="308"/>
      <c r="E28" s="352"/>
      <c r="F28" s="352"/>
      <c r="G28" s="48">
        <f>SUM(H28:Y28)</f>
        <v>0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26">
        <f t="shared" si="0"/>
        <v>0</v>
      </c>
      <c r="U28" s="52"/>
      <c r="V28" s="52"/>
      <c r="W28" s="52"/>
      <c r="X28" s="52"/>
      <c r="Y28" s="47"/>
      <c r="Z28" s="350"/>
    </row>
    <row r="29" spans="1:27" hidden="1">
      <c r="A29" s="314"/>
      <c r="B29" s="41" t="s">
        <v>33</v>
      </c>
      <c r="C29" s="338"/>
      <c r="D29" s="308"/>
      <c r="E29" s="352"/>
      <c r="F29" s="352"/>
      <c r="G29" s="48">
        <f>SUM(H29:Y29)</f>
        <v>0</v>
      </c>
      <c r="H29" s="48"/>
      <c r="I29" s="48"/>
      <c r="J29" s="48"/>
      <c r="K29" s="48"/>
      <c r="L29" s="151"/>
      <c r="M29" s="151"/>
      <c r="N29" s="151"/>
      <c r="O29" s="151"/>
      <c r="P29" s="253"/>
      <c r="Q29" s="253"/>
      <c r="R29" s="253"/>
      <c r="S29" s="253"/>
      <c r="T29" s="26">
        <f t="shared" si="0"/>
        <v>0</v>
      </c>
      <c r="U29" s="151"/>
      <c r="V29" s="151"/>
      <c r="W29" s="151"/>
      <c r="X29" s="48"/>
      <c r="Y29" s="47"/>
      <c r="Z29" s="350"/>
    </row>
    <row r="30" spans="1:27" hidden="1">
      <c r="A30" s="314"/>
      <c r="B30" s="23" t="s">
        <v>37</v>
      </c>
      <c r="C30" s="318"/>
      <c r="D30" s="308"/>
      <c r="E30" s="308"/>
      <c r="F30" s="308"/>
      <c r="G30" s="20">
        <f>SUM(H30:Y30)</f>
        <v>0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26">
        <f t="shared" si="0"/>
        <v>0</v>
      </c>
      <c r="U30" s="64"/>
      <c r="V30" s="64"/>
      <c r="W30" s="64"/>
      <c r="X30" s="65"/>
      <c r="Y30" s="25"/>
      <c r="Z30" s="350"/>
    </row>
    <row r="31" spans="1:27" hidden="1">
      <c r="A31" s="315"/>
      <c r="B31" s="22" t="s">
        <v>118</v>
      </c>
      <c r="C31" s="319"/>
      <c r="D31" s="309"/>
      <c r="E31" s="309"/>
      <c r="F31" s="309"/>
      <c r="G31" s="20">
        <f>SUM(H31:Y31)</f>
        <v>0</v>
      </c>
      <c r="H31" s="48"/>
      <c r="I31" s="48"/>
      <c r="J31" s="48"/>
      <c r="K31" s="48"/>
      <c r="L31" s="151"/>
      <c r="M31" s="151"/>
      <c r="N31" s="151"/>
      <c r="O31" s="151"/>
      <c r="P31" s="253"/>
      <c r="Q31" s="253"/>
      <c r="R31" s="253"/>
      <c r="S31" s="253"/>
      <c r="T31" s="26">
        <f t="shared" si="0"/>
        <v>0</v>
      </c>
      <c r="U31" s="151"/>
      <c r="V31" s="151"/>
      <c r="W31" s="151"/>
      <c r="X31" s="48"/>
      <c r="Y31" s="25"/>
      <c r="Z31" s="351"/>
    </row>
    <row r="32" spans="1:27" ht="25.5" customHeight="1">
      <c r="A32" s="313" t="s">
        <v>64</v>
      </c>
      <c r="B32" s="19" t="s">
        <v>82</v>
      </c>
      <c r="C32" s="337" t="s">
        <v>43</v>
      </c>
      <c r="D32" s="334" t="s">
        <v>47</v>
      </c>
      <c r="E32" s="331">
        <v>0.21</v>
      </c>
      <c r="F32" s="294" t="s">
        <v>17</v>
      </c>
      <c r="G32" s="25">
        <f>G33+G35+G37+G41+G42</f>
        <v>102014.40000000001</v>
      </c>
      <c r="H32" s="25">
        <f>H33+H35+H37+H41+H42</f>
        <v>0</v>
      </c>
      <c r="I32" s="20"/>
      <c r="J32" s="20"/>
      <c r="K32" s="20"/>
      <c r="L32" s="25">
        <f>L33+L35+L37+L41+L42</f>
        <v>34004.800000000003</v>
      </c>
      <c r="M32" s="150"/>
      <c r="N32" s="150"/>
      <c r="O32" s="150"/>
      <c r="P32" s="25">
        <f>P33+P35+P37+P41+P42</f>
        <v>0</v>
      </c>
      <c r="Q32" s="254"/>
      <c r="R32" s="254"/>
      <c r="S32" s="254"/>
      <c r="T32" s="26">
        <f t="shared" si="0"/>
        <v>34004.800000000003</v>
      </c>
      <c r="U32" s="150"/>
      <c r="V32" s="150"/>
      <c r="W32" s="150"/>
      <c r="X32" s="20"/>
      <c r="Y32" s="20"/>
      <c r="Z32" s="341"/>
    </row>
    <row r="33" spans="1:26">
      <c r="A33" s="314"/>
      <c r="B33" s="22" t="s">
        <v>127</v>
      </c>
      <c r="C33" s="338"/>
      <c r="D33" s="335"/>
      <c r="E33" s="332"/>
      <c r="F33" s="352"/>
      <c r="G33" s="323">
        <f>SUM(H33:Y33)</f>
        <v>102014.40000000001</v>
      </c>
      <c r="H33" s="323"/>
      <c r="I33" s="27"/>
      <c r="J33" s="27"/>
      <c r="K33" s="27"/>
      <c r="L33" s="323">
        <v>34004.800000000003</v>
      </c>
      <c r="M33" s="143"/>
      <c r="N33" s="143"/>
      <c r="O33" s="143"/>
      <c r="P33" s="323">
        <v>0</v>
      </c>
      <c r="Q33" s="245"/>
      <c r="R33" s="245"/>
      <c r="S33" s="245"/>
      <c r="T33" s="26">
        <f t="shared" si="0"/>
        <v>34004.800000000003</v>
      </c>
      <c r="U33" s="143"/>
      <c r="V33" s="143"/>
      <c r="W33" s="143"/>
      <c r="X33" s="323">
        <v>34004.800000000003</v>
      </c>
      <c r="Y33" s="323"/>
      <c r="Z33" s="342"/>
    </row>
    <row r="34" spans="1:26">
      <c r="A34" s="314"/>
      <c r="B34" s="68" t="s">
        <v>107</v>
      </c>
      <c r="C34" s="338"/>
      <c r="D34" s="335"/>
      <c r="E34" s="332"/>
      <c r="F34" s="352"/>
      <c r="G34" s="324"/>
      <c r="H34" s="324"/>
      <c r="I34" s="28"/>
      <c r="J34" s="28"/>
      <c r="K34" s="28"/>
      <c r="L34" s="324"/>
      <c r="M34" s="144"/>
      <c r="N34" s="144"/>
      <c r="O34" s="144"/>
      <c r="P34" s="324"/>
      <c r="Q34" s="247"/>
      <c r="R34" s="247"/>
      <c r="S34" s="247"/>
      <c r="T34" s="26">
        <f t="shared" si="0"/>
        <v>0</v>
      </c>
      <c r="U34" s="144"/>
      <c r="V34" s="144"/>
      <c r="W34" s="144"/>
      <c r="X34" s="324"/>
      <c r="Y34" s="324"/>
      <c r="Z34" s="342"/>
    </row>
    <row r="35" spans="1:26">
      <c r="A35" s="314"/>
      <c r="B35" s="23" t="s">
        <v>29</v>
      </c>
      <c r="C35" s="338"/>
      <c r="D35" s="335"/>
      <c r="E35" s="332"/>
      <c r="F35" s="352"/>
      <c r="G35" s="150">
        <v>0</v>
      </c>
      <c r="H35" s="20"/>
      <c r="I35" s="20"/>
      <c r="J35" s="20"/>
      <c r="K35" s="20"/>
      <c r="L35" s="150">
        <v>0</v>
      </c>
      <c r="M35" s="150"/>
      <c r="N35" s="150"/>
      <c r="O35" s="150"/>
      <c r="P35" s="254">
        <v>0</v>
      </c>
      <c r="Q35" s="254"/>
      <c r="R35" s="254"/>
      <c r="S35" s="254"/>
      <c r="T35" s="26">
        <f t="shared" si="0"/>
        <v>0</v>
      </c>
      <c r="U35" s="150"/>
      <c r="V35" s="150"/>
      <c r="W35" s="150"/>
      <c r="X35" s="20"/>
      <c r="Y35" s="20"/>
      <c r="Z35" s="342"/>
    </row>
    <row r="36" spans="1:26">
      <c r="A36" s="314"/>
      <c r="B36" s="41" t="s">
        <v>39</v>
      </c>
      <c r="C36" s="338"/>
      <c r="D36" s="335"/>
      <c r="E36" s="332"/>
      <c r="F36" s="352"/>
      <c r="G36" s="151">
        <v>0</v>
      </c>
      <c r="H36" s="20"/>
      <c r="I36" s="27"/>
      <c r="J36" s="27"/>
      <c r="K36" s="27"/>
      <c r="L36" s="151">
        <v>0</v>
      </c>
      <c r="M36" s="143"/>
      <c r="N36" s="143"/>
      <c r="O36" s="143"/>
      <c r="P36" s="253">
        <v>0</v>
      </c>
      <c r="Q36" s="245"/>
      <c r="R36" s="245"/>
      <c r="S36" s="245"/>
      <c r="T36" s="26">
        <f t="shared" si="0"/>
        <v>0</v>
      </c>
      <c r="U36" s="143"/>
      <c r="V36" s="143"/>
      <c r="W36" s="143"/>
      <c r="X36" s="27"/>
      <c r="Y36" s="54"/>
      <c r="Z36" s="342"/>
    </row>
    <row r="37" spans="1:26">
      <c r="A37" s="314"/>
      <c r="B37" s="23" t="s">
        <v>30</v>
      </c>
      <c r="C37" s="338"/>
      <c r="D37" s="335"/>
      <c r="E37" s="332"/>
      <c r="F37" s="352"/>
      <c r="G37" s="150">
        <v>0</v>
      </c>
      <c r="H37" s="20"/>
      <c r="I37" s="27"/>
      <c r="J37" s="27"/>
      <c r="K37" s="27"/>
      <c r="L37" s="150">
        <v>0</v>
      </c>
      <c r="M37" s="143"/>
      <c r="N37" s="143"/>
      <c r="O37" s="143"/>
      <c r="P37" s="254">
        <v>0</v>
      </c>
      <c r="Q37" s="245"/>
      <c r="R37" s="245"/>
      <c r="S37" s="245"/>
      <c r="T37" s="26">
        <f t="shared" si="0"/>
        <v>0</v>
      </c>
      <c r="U37" s="143"/>
      <c r="V37" s="143"/>
      <c r="W37" s="143"/>
      <c r="X37" s="27"/>
      <c r="Y37" s="27"/>
      <c r="Z37" s="342"/>
    </row>
    <row r="38" spans="1:26">
      <c r="A38" s="314"/>
      <c r="B38" s="41" t="s">
        <v>31</v>
      </c>
      <c r="C38" s="338"/>
      <c r="D38" s="335"/>
      <c r="E38" s="332"/>
      <c r="F38" s="352"/>
      <c r="G38" s="151">
        <v>0</v>
      </c>
      <c r="H38" s="20"/>
      <c r="I38" s="20"/>
      <c r="J38" s="20"/>
      <c r="K38" s="20"/>
      <c r="L38" s="151">
        <v>0</v>
      </c>
      <c r="M38" s="150"/>
      <c r="N38" s="150"/>
      <c r="O38" s="150"/>
      <c r="P38" s="253">
        <v>0</v>
      </c>
      <c r="Q38" s="254"/>
      <c r="R38" s="254"/>
      <c r="S38" s="254"/>
      <c r="T38" s="26">
        <f t="shared" si="0"/>
        <v>0</v>
      </c>
      <c r="U38" s="150"/>
      <c r="V38" s="150"/>
      <c r="W38" s="150"/>
      <c r="X38" s="20"/>
      <c r="Y38" s="20"/>
      <c r="Z38" s="342"/>
    </row>
    <row r="39" spans="1:26">
      <c r="A39" s="314"/>
      <c r="B39" s="41" t="s">
        <v>32</v>
      </c>
      <c r="C39" s="338"/>
      <c r="D39" s="335"/>
      <c r="E39" s="332"/>
      <c r="F39" s="352"/>
      <c r="G39" s="151">
        <v>0</v>
      </c>
      <c r="H39" s="20"/>
      <c r="I39" s="20"/>
      <c r="J39" s="20"/>
      <c r="K39" s="20"/>
      <c r="L39" s="151">
        <v>0</v>
      </c>
      <c r="M39" s="150"/>
      <c r="N39" s="150"/>
      <c r="O39" s="150"/>
      <c r="P39" s="253">
        <v>0</v>
      </c>
      <c r="Q39" s="254"/>
      <c r="R39" s="254"/>
      <c r="S39" s="254"/>
      <c r="T39" s="26">
        <f t="shared" si="0"/>
        <v>0</v>
      </c>
      <c r="U39" s="150"/>
      <c r="V39" s="150"/>
      <c r="W39" s="150"/>
      <c r="X39" s="20"/>
      <c r="Y39" s="20"/>
      <c r="Z39" s="342"/>
    </row>
    <row r="40" spans="1:26">
      <c r="A40" s="314"/>
      <c r="B40" s="41" t="s">
        <v>33</v>
      </c>
      <c r="C40" s="338"/>
      <c r="D40" s="335"/>
      <c r="E40" s="332"/>
      <c r="F40" s="352"/>
      <c r="G40" s="151">
        <v>0</v>
      </c>
      <c r="H40" s="20"/>
      <c r="I40" s="20"/>
      <c r="J40" s="20"/>
      <c r="K40" s="20"/>
      <c r="L40" s="151">
        <v>0</v>
      </c>
      <c r="M40" s="150"/>
      <c r="N40" s="150"/>
      <c r="O40" s="150"/>
      <c r="P40" s="253">
        <v>0</v>
      </c>
      <c r="Q40" s="254"/>
      <c r="R40" s="254"/>
      <c r="S40" s="254"/>
      <c r="T40" s="26">
        <f t="shared" si="0"/>
        <v>0</v>
      </c>
      <c r="U40" s="150"/>
      <c r="V40" s="150"/>
      <c r="W40" s="150"/>
      <c r="X40" s="20"/>
      <c r="Y40" s="20"/>
      <c r="Z40" s="342"/>
    </row>
    <row r="41" spans="1:26">
      <c r="A41" s="314"/>
      <c r="B41" s="23" t="s">
        <v>37</v>
      </c>
      <c r="C41" s="318"/>
      <c r="D41" s="335"/>
      <c r="E41" s="332"/>
      <c r="F41" s="352"/>
      <c r="G41" s="150">
        <v>0</v>
      </c>
      <c r="H41" s="20"/>
      <c r="I41" s="20"/>
      <c r="J41" s="20"/>
      <c r="K41" s="20"/>
      <c r="L41" s="150">
        <v>0</v>
      </c>
      <c r="M41" s="150"/>
      <c r="N41" s="150"/>
      <c r="O41" s="150"/>
      <c r="P41" s="254">
        <v>0</v>
      </c>
      <c r="Q41" s="254"/>
      <c r="R41" s="254"/>
      <c r="S41" s="254"/>
      <c r="T41" s="26">
        <f t="shared" si="0"/>
        <v>0</v>
      </c>
      <c r="U41" s="150"/>
      <c r="V41" s="150"/>
      <c r="W41" s="150"/>
      <c r="X41" s="20"/>
      <c r="Y41" s="20"/>
      <c r="Z41" s="342"/>
    </row>
    <row r="42" spans="1:26">
      <c r="A42" s="315"/>
      <c r="B42" s="23" t="s">
        <v>38</v>
      </c>
      <c r="C42" s="319"/>
      <c r="D42" s="336"/>
      <c r="E42" s="333"/>
      <c r="F42" s="295"/>
      <c r="G42" s="150">
        <v>0</v>
      </c>
      <c r="H42" s="20"/>
      <c r="I42" s="20"/>
      <c r="J42" s="20"/>
      <c r="K42" s="20"/>
      <c r="L42" s="150">
        <v>0</v>
      </c>
      <c r="M42" s="150"/>
      <c r="N42" s="150"/>
      <c r="O42" s="150"/>
      <c r="P42" s="254">
        <v>0</v>
      </c>
      <c r="Q42" s="254"/>
      <c r="R42" s="254"/>
      <c r="S42" s="254"/>
      <c r="T42" s="26">
        <f t="shared" si="0"/>
        <v>0</v>
      </c>
      <c r="U42" s="150"/>
      <c r="V42" s="150"/>
      <c r="W42" s="150"/>
      <c r="X42" s="20"/>
      <c r="Y42" s="20"/>
      <c r="Z42" s="343"/>
    </row>
    <row r="43" spans="1:26" ht="27.75" customHeight="1">
      <c r="A43" s="313" t="s">
        <v>92</v>
      </c>
      <c r="B43" s="19" t="s">
        <v>84</v>
      </c>
      <c r="C43" s="337" t="s">
        <v>43</v>
      </c>
      <c r="D43" s="334" t="s">
        <v>47</v>
      </c>
      <c r="E43" s="331">
        <v>1.1000000000000001</v>
      </c>
      <c r="F43" s="294" t="s">
        <v>18</v>
      </c>
      <c r="G43" s="25">
        <f>G44+G46+G48+G52+G53</f>
        <v>164991.29999999999</v>
      </c>
      <c r="H43" s="25">
        <f>H44+H46+H48+H52+H53</f>
        <v>0</v>
      </c>
      <c r="I43" s="20"/>
      <c r="J43" s="20"/>
      <c r="K43" s="20"/>
      <c r="L43" s="25">
        <f>L44+L46+L48+L52+L53</f>
        <v>5499.1</v>
      </c>
      <c r="M43" s="150"/>
      <c r="N43" s="150"/>
      <c r="O43" s="150"/>
      <c r="P43" s="25">
        <f>P44+P46+P48+P52+P53</f>
        <v>49498</v>
      </c>
      <c r="Q43" s="254"/>
      <c r="R43" s="254"/>
      <c r="S43" s="254"/>
      <c r="T43" s="26">
        <f t="shared" si="0"/>
        <v>5499.1</v>
      </c>
      <c r="U43" s="150"/>
      <c r="V43" s="150"/>
      <c r="W43" s="150"/>
      <c r="X43" s="20"/>
      <c r="Y43" s="20"/>
      <c r="Z43" s="341"/>
    </row>
    <row r="44" spans="1:26">
      <c r="A44" s="314"/>
      <c r="B44" s="22" t="s">
        <v>127</v>
      </c>
      <c r="C44" s="338"/>
      <c r="D44" s="347"/>
      <c r="E44" s="332"/>
      <c r="F44" s="352"/>
      <c r="G44" s="323">
        <f>SUM(H44:Y44)</f>
        <v>164991.29999999999</v>
      </c>
      <c r="H44" s="323"/>
      <c r="I44" s="27"/>
      <c r="J44" s="27"/>
      <c r="K44" s="27"/>
      <c r="L44" s="323">
        <v>5499.1</v>
      </c>
      <c r="M44" s="143"/>
      <c r="N44" s="143"/>
      <c r="O44" s="143"/>
      <c r="P44" s="323">
        <v>49498</v>
      </c>
      <c r="Q44" s="245"/>
      <c r="R44" s="245"/>
      <c r="S44" s="245"/>
      <c r="T44" s="323">
        <f>L44+H44+P44</f>
        <v>54997.1</v>
      </c>
      <c r="U44" s="143"/>
      <c r="V44" s="143"/>
      <c r="W44" s="143"/>
      <c r="X44" s="323">
        <v>5499.1</v>
      </c>
      <c r="Y44" s="323">
        <v>49498</v>
      </c>
      <c r="Z44" s="342"/>
    </row>
    <row r="45" spans="1:26" ht="14.25" customHeight="1">
      <c r="A45" s="314"/>
      <c r="B45" s="68" t="s">
        <v>107</v>
      </c>
      <c r="C45" s="338"/>
      <c r="D45" s="347"/>
      <c r="E45" s="332"/>
      <c r="F45" s="352"/>
      <c r="G45" s="324"/>
      <c r="H45" s="324"/>
      <c r="I45" s="28"/>
      <c r="J45" s="28"/>
      <c r="K45" s="28"/>
      <c r="L45" s="324"/>
      <c r="M45" s="144"/>
      <c r="N45" s="144"/>
      <c r="O45" s="144"/>
      <c r="P45" s="324"/>
      <c r="Q45" s="247"/>
      <c r="R45" s="247"/>
      <c r="S45" s="247"/>
      <c r="T45" s="324">
        <f t="shared" si="0"/>
        <v>0</v>
      </c>
      <c r="U45" s="144"/>
      <c r="V45" s="144"/>
      <c r="W45" s="144"/>
      <c r="X45" s="324"/>
      <c r="Y45" s="324"/>
      <c r="Z45" s="342"/>
    </row>
    <row r="46" spans="1:26" ht="15" customHeight="1">
      <c r="A46" s="314"/>
      <c r="B46" s="23" t="s">
        <v>29</v>
      </c>
      <c r="C46" s="338"/>
      <c r="D46" s="347"/>
      <c r="E46" s="332"/>
      <c r="F46" s="352"/>
      <c r="G46" s="150">
        <v>0</v>
      </c>
      <c r="H46" s="20"/>
      <c r="I46" s="20"/>
      <c r="J46" s="20"/>
      <c r="K46" s="20"/>
      <c r="L46" s="150">
        <v>0</v>
      </c>
      <c r="M46" s="150"/>
      <c r="N46" s="150"/>
      <c r="O46" s="150"/>
      <c r="P46" s="254">
        <v>0</v>
      </c>
      <c r="Q46" s="254"/>
      <c r="R46" s="254"/>
      <c r="S46" s="254"/>
      <c r="T46" s="26">
        <f t="shared" si="0"/>
        <v>0</v>
      </c>
      <c r="U46" s="150"/>
      <c r="V46" s="150"/>
      <c r="W46" s="150"/>
      <c r="X46" s="20"/>
      <c r="Y46" s="20"/>
      <c r="Z46" s="342"/>
    </row>
    <row r="47" spans="1:26">
      <c r="A47" s="314"/>
      <c r="B47" s="41" t="s">
        <v>39</v>
      </c>
      <c r="C47" s="338"/>
      <c r="D47" s="347"/>
      <c r="E47" s="332"/>
      <c r="F47" s="352"/>
      <c r="G47" s="151">
        <v>0</v>
      </c>
      <c r="H47" s="20"/>
      <c r="I47" s="27"/>
      <c r="J47" s="27"/>
      <c r="K47" s="27"/>
      <c r="L47" s="151">
        <v>0</v>
      </c>
      <c r="M47" s="143"/>
      <c r="N47" s="143"/>
      <c r="O47" s="143"/>
      <c r="P47" s="253">
        <v>0</v>
      </c>
      <c r="Q47" s="245"/>
      <c r="R47" s="245"/>
      <c r="S47" s="245"/>
      <c r="T47" s="26">
        <f t="shared" si="0"/>
        <v>0</v>
      </c>
      <c r="U47" s="143"/>
      <c r="V47" s="143"/>
      <c r="W47" s="143"/>
      <c r="X47" s="27"/>
      <c r="Y47" s="54"/>
      <c r="Z47" s="342"/>
    </row>
    <row r="48" spans="1:26" ht="16.5" customHeight="1">
      <c r="A48" s="314"/>
      <c r="B48" s="23" t="s">
        <v>30</v>
      </c>
      <c r="C48" s="338"/>
      <c r="D48" s="347"/>
      <c r="E48" s="332"/>
      <c r="F48" s="352"/>
      <c r="G48" s="150">
        <v>0</v>
      </c>
      <c r="H48" s="20"/>
      <c r="I48" s="27"/>
      <c r="J48" s="27"/>
      <c r="K48" s="27"/>
      <c r="L48" s="150">
        <v>0</v>
      </c>
      <c r="M48" s="143"/>
      <c r="N48" s="143"/>
      <c r="O48" s="143"/>
      <c r="P48" s="254">
        <v>0</v>
      </c>
      <c r="Q48" s="245"/>
      <c r="R48" s="245"/>
      <c r="S48" s="245"/>
      <c r="T48" s="26">
        <f t="shared" si="0"/>
        <v>0</v>
      </c>
      <c r="U48" s="143"/>
      <c r="V48" s="143"/>
      <c r="W48" s="143"/>
      <c r="X48" s="27"/>
      <c r="Y48" s="27"/>
      <c r="Z48" s="342"/>
    </row>
    <row r="49" spans="1:26" ht="9.75" customHeight="1">
      <c r="A49" s="314"/>
      <c r="B49" s="41" t="s">
        <v>31</v>
      </c>
      <c r="C49" s="338"/>
      <c r="D49" s="347"/>
      <c r="E49" s="332"/>
      <c r="F49" s="352"/>
      <c r="G49" s="151">
        <v>0</v>
      </c>
      <c r="H49" s="20"/>
      <c r="I49" s="20"/>
      <c r="J49" s="20"/>
      <c r="K49" s="20"/>
      <c r="L49" s="151">
        <v>0</v>
      </c>
      <c r="M49" s="150"/>
      <c r="N49" s="150"/>
      <c r="O49" s="150"/>
      <c r="P49" s="253">
        <v>0</v>
      </c>
      <c r="Q49" s="254"/>
      <c r="R49" s="254"/>
      <c r="S49" s="254"/>
      <c r="T49" s="26">
        <f t="shared" si="0"/>
        <v>0</v>
      </c>
      <c r="U49" s="150"/>
      <c r="V49" s="150"/>
      <c r="W49" s="150"/>
      <c r="X49" s="20"/>
      <c r="Y49" s="20"/>
      <c r="Z49" s="342"/>
    </row>
    <row r="50" spans="1:26">
      <c r="A50" s="314"/>
      <c r="B50" s="41" t="s">
        <v>32</v>
      </c>
      <c r="C50" s="338"/>
      <c r="D50" s="347"/>
      <c r="E50" s="332"/>
      <c r="F50" s="352"/>
      <c r="G50" s="151">
        <v>0</v>
      </c>
      <c r="H50" s="20"/>
      <c r="I50" s="20"/>
      <c r="J50" s="20"/>
      <c r="K50" s="20"/>
      <c r="L50" s="151">
        <v>0</v>
      </c>
      <c r="M50" s="150"/>
      <c r="N50" s="150"/>
      <c r="O50" s="150"/>
      <c r="P50" s="253">
        <v>0</v>
      </c>
      <c r="Q50" s="254"/>
      <c r="R50" s="254"/>
      <c r="S50" s="254"/>
      <c r="T50" s="26">
        <f t="shared" si="0"/>
        <v>0</v>
      </c>
      <c r="U50" s="150"/>
      <c r="V50" s="150"/>
      <c r="W50" s="150"/>
      <c r="X50" s="20"/>
      <c r="Y50" s="20"/>
      <c r="Z50" s="342"/>
    </row>
    <row r="51" spans="1:26">
      <c r="A51" s="314"/>
      <c r="B51" s="41" t="s">
        <v>33</v>
      </c>
      <c r="C51" s="338"/>
      <c r="D51" s="347"/>
      <c r="E51" s="332"/>
      <c r="F51" s="352"/>
      <c r="G51" s="151">
        <v>0</v>
      </c>
      <c r="H51" s="20"/>
      <c r="I51" s="20"/>
      <c r="J51" s="20"/>
      <c r="K51" s="20"/>
      <c r="L51" s="151">
        <v>0</v>
      </c>
      <c r="M51" s="150"/>
      <c r="N51" s="150"/>
      <c r="O51" s="150"/>
      <c r="P51" s="253">
        <v>0</v>
      </c>
      <c r="Q51" s="254"/>
      <c r="R51" s="254"/>
      <c r="S51" s="254"/>
      <c r="T51" s="26">
        <f t="shared" si="0"/>
        <v>0</v>
      </c>
      <c r="U51" s="150"/>
      <c r="V51" s="150"/>
      <c r="W51" s="150"/>
      <c r="X51" s="20"/>
      <c r="Y51" s="20"/>
      <c r="Z51" s="342"/>
    </row>
    <row r="52" spans="1:26">
      <c r="A52" s="314"/>
      <c r="B52" s="23" t="s">
        <v>37</v>
      </c>
      <c r="C52" s="318"/>
      <c r="D52" s="347"/>
      <c r="E52" s="332"/>
      <c r="F52" s="352"/>
      <c r="G52" s="150">
        <v>0</v>
      </c>
      <c r="H52" s="20"/>
      <c r="I52" s="20"/>
      <c r="J52" s="20"/>
      <c r="K52" s="20"/>
      <c r="L52" s="150">
        <v>0</v>
      </c>
      <c r="M52" s="150"/>
      <c r="N52" s="150"/>
      <c r="O52" s="150"/>
      <c r="P52" s="254">
        <v>0</v>
      </c>
      <c r="Q52" s="254"/>
      <c r="R52" s="254"/>
      <c r="S52" s="254"/>
      <c r="T52" s="26">
        <f t="shared" si="0"/>
        <v>0</v>
      </c>
      <c r="U52" s="150"/>
      <c r="V52" s="150"/>
      <c r="W52" s="150"/>
      <c r="X52" s="20"/>
      <c r="Y52" s="20"/>
      <c r="Z52" s="342"/>
    </row>
    <row r="53" spans="1:26">
      <c r="A53" s="315"/>
      <c r="B53" s="23" t="s">
        <v>38</v>
      </c>
      <c r="C53" s="319"/>
      <c r="D53" s="348"/>
      <c r="E53" s="333"/>
      <c r="F53" s="295"/>
      <c r="G53" s="150">
        <v>0</v>
      </c>
      <c r="H53" s="20"/>
      <c r="I53" s="20"/>
      <c r="J53" s="20"/>
      <c r="K53" s="20"/>
      <c r="L53" s="150">
        <v>0</v>
      </c>
      <c r="M53" s="150"/>
      <c r="N53" s="150"/>
      <c r="O53" s="150"/>
      <c r="P53" s="254">
        <v>0</v>
      </c>
      <c r="Q53" s="254"/>
      <c r="R53" s="254"/>
      <c r="S53" s="254"/>
      <c r="T53" s="26">
        <f t="shared" si="0"/>
        <v>0</v>
      </c>
      <c r="U53" s="150"/>
      <c r="V53" s="150"/>
      <c r="W53" s="150"/>
      <c r="X53" s="20"/>
      <c r="Y53" s="20"/>
      <c r="Z53" s="343"/>
    </row>
    <row r="54" spans="1:26" ht="25.5">
      <c r="A54" s="67"/>
      <c r="B54" s="16" t="s">
        <v>94</v>
      </c>
      <c r="C54" s="337" t="s">
        <v>43</v>
      </c>
      <c r="D54" s="334" t="s">
        <v>47</v>
      </c>
      <c r="E54" s="331"/>
      <c r="F54" s="294" t="s">
        <v>18</v>
      </c>
      <c r="G54" s="25">
        <f>G55+G57+G59+G63+G64</f>
        <v>38007.85</v>
      </c>
      <c r="H54" s="25">
        <f>H55+H57+H59+H63+H64</f>
        <v>0</v>
      </c>
      <c r="I54" s="20"/>
      <c r="J54" s="20"/>
      <c r="K54" s="20"/>
      <c r="L54" s="25">
        <f>L55+L57+L59+L63+L64</f>
        <v>1151.8</v>
      </c>
      <c r="M54" s="150"/>
      <c r="N54" s="150"/>
      <c r="O54" s="150"/>
      <c r="P54" s="25">
        <f>P55+P57+P59+P63+P64</f>
        <v>11517.5</v>
      </c>
      <c r="Q54" s="254"/>
      <c r="R54" s="254"/>
      <c r="S54" s="254"/>
      <c r="T54" s="26">
        <f>L54+H54+P54</f>
        <v>12669.3</v>
      </c>
      <c r="U54" s="150"/>
      <c r="V54" s="150"/>
      <c r="W54" s="150"/>
      <c r="X54" s="20"/>
      <c r="Y54" s="20"/>
      <c r="Z54" s="341"/>
    </row>
    <row r="55" spans="1:26">
      <c r="A55" s="67"/>
      <c r="B55" s="22" t="s">
        <v>127</v>
      </c>
      <c r="C55" s="338"/>
      <c r="D55" s="335"/>
      <c r="E55" s="332"/>
      <c r="F55" s="352"/>
      <c r="G55" s="323">
        <f>SUM(H55:Y55)</f>
        <v>38007.85</v>
      </c>
      <c r="H55" s="323"/>
      <c r="I55" s="27"/>
      <c r="J55" s="27"/>
      <c r="K55" s="27"/>
      <c r="L55" s="323">
        <v>1151.8</v>
      </c>
      <c r="M55" s="143"/>
      <c r="N55" s="143"/>
      <c r="O55" s="143"/>
      <c r="P55" s="323">
        <v>11517.5</v>
      </c>
      <c r="Q55" s="245"/>
      <c r="R55" s="245"/>
      <c r="S55" s="245"/>
      <c r="T55" s="323">
        <f>L55+H55+P55</f>
        <v>12669.3</v>
      </c>
      <c r="U55" s="143"/>
      <c r="V55" s="143"/>
      <c r="W55" s="143"/>
      <c r="X55" s="323">
        <v>1151.75</v>
      </c>
      <c r="Y55" s="323">
        <v>11517.5</v>
      </c>
      <c r="Z55" s="342"/>
    </row>
    <row r="56" spans="1:26">
      <c r="A56" s="67"/>
      <c r="B56" s="68" t="s">
        <v>107</v>
      </c>
      <c r="C56" s="338"/>
      <c r="D56" s="335"/>
      <c r="E56" s="332"/>
      <c r="F56" s="352"/>
      <c r="G56" s="324"/>
      <c r="H56" s="324"/>
      <c r="I56" s="28"/>
      <c r="J56" s="28"/>
      <c r="K56" s="28"/>
      <c r="L56" s="324"/>
      <c r="M56" s="144"/>
      <c r="N56" s="144"/>
      <c r="O56" s="144"/>
      <c r="P56" s="324"/>
      <c r="Q56" s="247"/>
      <c r="R56" s="247"/>
      <c r="S56" s="247"/>
      <c r="T56" s="324">
        <f t="shared" si="0"/>
        <v>0</v>
      </c>
      <c r="U56" s="144"/>
      <c r="V56" s="144"/>
      <c r="W56" s="144"/>
      <c r="X56" s="324"/>
      <c r="Y56" s="324"/>
      <c r="Z56" s="342"/>
    </row>
    <row r="57" spans="1:26">
      <c r="A57" s="67"/>
      <c r="B57" s="23" t="s">
        <v>29</v>
      </c>
      <c r="C57" s="338"/>
      <c r="D57" s="335"/>
      <c r="E57" s="332"/>
      <c r="F57" s="352"/>
      <c r="G57" s="150">
        <v>0</v>
      </c>
      <c r="H57" s="20"/>
      <c r="I57" s="20"/>
      <c r="J57" s="20"/>
      <c r="K57" s="20"/>
      <c r="L57" s="150">
        <v>0</v>
      </c>
      <c r="M57" s="150"/>
      <c r="N57" s="150"/>
      <c r="O57" s="150"/>
      <c r="P57" s="254">
        <v>0</v>
      </c>
      <c r="Q57" s="254"/>
      <c r="R57" s="254"/>
      <c r="S57" s="254"/>
      <c r="T57" s="26">
        <f t="shared" si="0"/>
        <v>0</v>
      </c>
      <c r="U57" s="150"/>
      <c r="V57" s="150"/>
      <c r="W57" s="150"/>
      <c r="X57" s="20"/>
      <c r="Y57" s="20"/>
      <c r="Z57" s="342"/>
    </row>
    <row r="58" spans="1:26">
      <c r="A58" s="73" t="s">
        <v>93</v>
      </c>
      <c r="B58" s="41" t="s">
        <v>39</v>
      </c>
      <c r="C58" s="338"/>
      <c r="D58" s="335"/>
      <c r="E58" s="332"/>
      <c r="F58" s="352"/>
      <c r="G58" s="151">
        <v>0</v>
      </c>
      <c r="H58" s="20"/>
      <c r="I58" s="27"/>
      <c r="J58" s="27"/>
      <c r="K58" s="27"/>
      <c r="L58" s="151">
        <v>0</v>
      </c>
      <c r="M58" s="143"/>
      <c r="N58" s="143"/>
      <c r="O58" s="143"/>
      <c r="P58" s="253">
        <v>0</v>
      </c>
      <c r="Q58" s="245"/>
      <c r="R58" s="245"/>
      <c r="S58" s="245"/>
      <c r="T58" s="26">
        <f t="shared" si="0"/>
        <v>0</v>
      </c>
      <c r="U58" s="143"/>
      <c r="V58" s="143"/>
      <c r="W58" s="143"/>
      <c r="X58" s="27"/>
      <c r="Y58" s="54"/>
      <c r="Z58" s="342"/>
    </row>
    <row r="59" spans="1:26">
      <c r="A59" s="67"/>
      <c r="B59" s="23" t="s">
        <v>30</v>
      </c>
      <c r="C59" s="338"/>
      <c r="D59" s="335"/>
      <c r="E59" s="332"/>
      <c r="F59" s="352"/>
      <c r="G59" s="150">
        <v>0</v>
      </c>
      <c r="H59" s="20"/>
      <c r="I59" s="27"/>
      <c r="J59" s="27"/>
      <c r="K59" s="27"/>
      <c r="L59" s="150">
        <v>0</v>
      </c>
      <c r="M59" s="143"/>
      <c r="N59" s="143"/>
      <c r="O59" s="143"/>
      <c r="P59" s="254">
        <v>0</v>
      </c>
      <c r="Q59" s="245"/>
      <c r="R59" s="245"/>
      <c r="S59" s="245"/>
      <c r="T59" s="26">
        <f t="shared" si="0"/>
        <v>0</v>
      </c>
      <c r="U59" s="143"/>
      <c r="V59" s="143"/>
      <c r="W59" s="143"/>
      <c r="X59" s="27"/>
      <c r="Y59" s="27"/>
      <c r="Z59" s="342"/>
    </row>
    <row r="60" spans="1:26">
      <c r="A60" s="67"/>
      <c r="B60" s="41" t="s">
        <v>31</v>
      </c>
      <c r="C60" s="338"/>
      <c r="D60" s="335"/>
      <c r="E60" s="332"/>
      <c r="F60" s="352"/>
      <c r="G60" s="151">
        <v>0</v>
      </c>
      <c r="H60" s="20"/>
      <c r="I60" s="20"/>
      <c r="J60" s="20"/>
      <c r="K60" s="20"/>
      <c r="L60" s="151">
        <v>0</v>
      </c>
      <c r="M60" s="150"/>
      <c r="N60" s="150"/>
      <c r="O60" s="150"/>
      <c r="P60" s="253">
        <v>0</v>
      </c>
      <c r="Q60" s="254"/>
      <c r="R60" s="254"/>
      <c r="S60" s="254"/>
      <c r="T60" s="26">
        <f t="shared" si="0"/>
        <v>0</v>
      </c>
      <c r="U60" s="150"/>
      <c r="V60" s="150"/>
      <c r="W60" s="150"/>
      <c r="X60" s="20"/>
      <c r="Y60" s="20"/>
      <c r="Z60" s="342"/>
    </row>
    <row r="61" spans="1:26">
      <c r="A61" s="67"/>
      <c r="B61" s="41" t="s">
        <v>32</v>
      </c>
      <c r="C61" s="338"/>
      <c r="D61" s="335"/>
      <c r="E61" s="332"/>
      <c r="F61" s="352"/>
      <c r="G61" s="151">
        <v>0</v>
      </c>
      <c r="H61" s="20"/>
      <c r="I61" s="20"/>
      <c r="J61" s="20"/>
      <c r="K61" s="20"/>
      <c r="L61" s="151">
        <v>0</v>
      </c>
      <c r="M61" s="150"/>
      <c r="N61" s="150"/>
      <c r="O61" s="150"/>
      <c r="P61" s="253">
        <v>0</v>
      </c>
      <c r="Q61" s="254"/>
      <c r="R61" s="254"/>
      <c r="S61" s="254"/>
      <c r="T61" s="26">
        <f t="shared" si="0"/>
        <v>0</v>
      </c>
      <c r="U61" s="150"/>
      <c r="V61" s="150"/>
      <c r="W61" s="150"/>
      <c r="X61" s="20"/>
      <c r="Y61" s="20"/>
      <c r="Z61" s="342"/>
    </row>
    <row r="62" spans="1:26">
      <c r="A62" s="67"/>
      <c r="B62" s="41" t="s">
        <v>33</v>
      </c>
      <c r="C62" s="338"/>
      <c r="D62" s="335"/>
      <c r="E62" s="332"/>
      <c r="F62" s="352"/>
      <c r="G62" s="151">
        <v>0</v>
      </c>
      <c r="H62" s="20"/>
      <c r="I62" s="20"/>
      <c r="J62" s="20"/>
      <c r="K62" s="20"/>
      <c r="L62" s="151">
        <v>0</v>
      </c>
      <c r="M62" s="150"/>
      <c r="N62" s="150"/>
      <c r="O62" s="150"/>
      <c r="P62" s="253">
        <v>0</v>
      </c>
      <c r="Q62" s="254"/>
      <c r="R62" s="254"/>
      <c r="S62" s="254"/>
      <c r="T62" s="26">
        <f t="shared" si="0"/>
        <v>0</v>
      </c>
      <c r="U62" s="150"/>
      <c r="V62" s="150"/>
      <c r="W62" s="150"/>
      <c r="X62" s="20"/>
      <c r="Y62" s="20"/>
      <c r="Z62" s="342"/>
    </row>
    <row r="63" spans="1:26">
      <c r="A63" s="67"/>
      <c r="B63" s="23" t="s">
        <v>37</v>
      </c>
      <c r="C63" s="318"/>
      <c r="D63" s="335"/>
      <c r="E63" s="332"/>
      <c r="F63" s="352"/>
      <c r="G63" s="150">
        <v>0</v>
      </c>
      <c r="H63" s="20"/>
      <c r="I63" s="20"/>
      <c r="J63" s="20"/>
      <c r="K63" s="20"/>
      <c r="L63" s="150">
        <v>0</v>
      </c>
      <c r="M63" s="150"/>
      <c r="N63" s="150"/>
      <c r="O63" s="150"/>
      <c r="P63" s="254">
        <v>0</v>
      </c>
      <c r="Q63" s="254"/>
      <c r="R63" s="254"/>
      <c r="S63" s="254"/>
      <c r="T63" s="26">
        <f t="shared" si="0"/>
        <v>0</v>
      </c>
      <c r="U63" s="150"/>
      <c r="V63" s="150"/>
      <c r="W63" s="150"/>
      <c r="X63" s="20"/>
      <c r="Y63" s="20"/>
      <c r="Z63" s="342"/>
    </row>
    <row r="64" spans="1:26">
      <c r="A64" s="67"/>
      <c r="B64" s="23" t="s">
        <v>38</v>
      </c>
      <c r="C64" s="319"/>
      <c r="D64" s="336"/>
      <c r="E64" s="333"/>
      <c r="F64" s="295"/>
      <c r="G64" s="150">
        <v>0</v>
      </c>
      <c r="H64" s="20"/>
      <c r="I64" s="20"/>
      <c r="J64" s="20"/>
      <c r="K64" s="20"/>
      <c r="L64" s="150">
        <v>0</v>
      </c>
      <c r="M64" s="150"/>
      <c r="N64" s="150"/>
      <c r="O64" s="150"/>
      <c r="P64" s="254">
        <v>0</v>
      </c>
      <c r="Q64" s="254"/>
      <c r="R64" s="254"/>
      <c r="S64" s="254"/>
      <c r="T64" s="26">
        <f t="shared" si="0"/>
        <v>0</v>
      </c>
      <c r="U64" s="150"/>
      <c r="V64" s="150"/>
      <c r="W64" s="150"/>
      <c r="X64" s="20"/>
      <c r="Y64" s="20"/>
      <c r="Z64" s="343"/>
    </row>
    <row r="65" spans="1:27" s="1" customFormat="1" ht="21.75" customHeight="1">
      <c r="A65" s="360"/>
      <c r="B65" s="17" t="s">
        <v>14</v>
      </c>
      <c r="C65" s="362"/>
      <c r="D65" s="353"/>
      <c r="E65" s="358">
        <f>G21+G10+G32+G43+G54</f>
        <v>349264.14999999997</v>
      </c>
      <c r="F65" s="358">
        <f>G22+G11+G33+G44+G55</f>
        <v>349264.14999999997</v>
      </c>
      <c r="G65" s="20">
        <f>G66+G68+G70+G74+G75</f>
        <v>116421.35</v>
      </c>
      <c r="H65" s="20">
        <f>H66+H68+H70+H74+H75</f>
        <v>0</v>
      </c>
      <c r="I65" s="20">
        <f t="shared" ref="I65:K65" si="1">I66+I68+I70+I74+I75</f>
        <v>0</v>
      </c>
      <c r="J65" s="20">
        <f t="shared" si="1"/>
        <v>0</v>
      </c>
      <c r="K65" s="20">
        <f t="shared" si="1"/>
        <v>0</v>
      </c>
      <c r="L65" s="150">
        <f t="shared" ref="L65" si="2">L66+L68+L70+L74+L75</f>
        <v>55405.900000000009</v>
      </c>
      <c r="M65" s="150"/>
      <c r="N65" s="150"/>
      <c r="O65" s="150"/>
      <c r="P65" s="254">
        <f t="shared" ref="P65" si="3">P66+P68+P70+P74+P75</f>
        <v>61015.5</v>
      </c>
      <c r="Q65" s="254"/>
      <c r="R65" s="254"/>
      <c r="S65" s="254"/>
      <c r="T65" s="26">
        <f>L65+H65+P65</f>
        <v>116421.40000000001</v>
      </c>
      <c r="U65" s="150"/>
      <c r="V65" s="150"/>
      <c r="W65" s="150"/>
      <c r="X65" s="20">
        <f>X66+X68+X70+X74+X75</f>
        <v>55405.850000000006</v>
      </c>
      <c r="Y65" s="20">
        <f>Y66+Y68+Y70+Y74+Y75</f>
        <v>61015.5</v>
      </c>
      <c r="Z65" s="349"/>
      <c r="AA65" s="55"/>
    </row>
    <row r="66" spans="1:27" s="1" customFormat="1" ht="12.75" customHeight="1">
      <c r="A66" s="307"/>
      <c r="B66" s="22" t="s">
        <v>127</v>
      </c>
      <c r="C66" s="363"/>
      <c r="D66" s="354"/>
      <c r="E66" s="359"/>
      <c r="F66" s="359"/>
      <c r="G66" s="323">
        <f>H66+X66+Y66</f>
        <v>116421.35</v>
      </c>
      <c r="H66" s="339">
        <f>H22+H11+H44+H33+H55</f>
        <v>0</v>
      </c>
      <c r="I66" s="339">
        <f t="shared" ref="I66:K66" si="4">I22+I11+I44+I33+I55</f>
        <v>0</v>
      </c>
      <c r="J66" s="339">
        <f t="shared" si="4"/>
        <v>0</v>
      </c>
      <c r="K66" s="339">
        <f t="shared" si="4"/>
        <v>0</v>
      </c>
      <c r="L66" s="339">
        <f>L22+L11+L44+L33+L55</f>
        <v>55405.900000000009</v>
      </c>
      <c r="M66" s="145"/>
      <c r="N66" s="145"/>
      <c r="O66" s="145"/>
      <c r="P66" s="339">
        <f>P22+P11+P44+P33+P55</f>
        <v>61015.5</v>
      </c>
      <c r="Q66" s="243"/>
      <c r="R66" s="243"/>
      <c r="S66" s="243"/>
      <c r="T66" s="339">
        <f>T22+T11+T44+T33+T55</f>
        <v>116421.40000000001</v>
      </c>
      <c r="U66" s="145"/>
      <c r="V66" s="145"/>
      <c r="W66" s="145"/>
      <c r="X66" s="339">
        <f>X22+X11+X44+X33+X55</f>
        <v>55405.850000000006</v>
      </c>
      <c r="Y66" s="339">
        <f>Y22+Y11+Y44+Y33+Y55</f>
        <v>61015.5</v>
      </c>
      <c r="Z66" s="350"/>
    </row>
    <row r="67" spans="1:27" s="1" customFormat="1" ht="12.75" customHeight="1">
      <c r="A67" s="307"/>
      <c r="B67" s="68" t="s">
        <v>107</v>
      </c>
      <c r="C67" s="363"/>
      <c r="D67" s="354"/>
      <c r="E67" s="359"/>
      <c r="F67" s="359"/>
      <c r="G67" s="297"/>
      <c r="H67" s="340"/>
      <c r="I67" s="340"/>
      <c r="J67" s="340"/>
      <c r="K67" s="340"/>
      <c r="L67" s="340"/>
      <c r="M67" s="146"/>
      <c r="N67" s="146"/>
      <c r="O67" s="146"/>
      <c r="P67" s="340"/>
      <c r="Q67" s="244"/>
      <c r="R67" s="244"/>
      <c r="S67" s="244"/>
      <c r="T67" s="340"/>
      <c r="U67" s="146"/>
      <c r="V67" s="146"/>
      <c r="W67" s="146"/>
      <c r="X67" s="340"/>
      <c r="Y67" s="340"/>
      <c r="Z67" s="350"/>
      <c r="AA67" s="55"/>
    </row>
    <row r="68" spans="1:27" s="1" customFormat="1">
      <c r="A68" s="307"/>
      <c r="B68" s="23" t="s">
        <v>29</v>
      </c>
      <c r="C68" s="363"/>
      <c r="D68" s="354"/>
      <c r="E68" s="359"/>
      <c r="F68" s="359"/>
      <c r="G68" s="20">
        <f>SUM(G69)</f>
        <v>0</v>
      </c>
      <c r="H68" s="20"/>
      <c r="I68" s="20"/>
      <c r="J68" s="20"/>
      <c r="K68" s="20"/>
      <c r="L68" s="150"/>
      <c r="M68" s="150"/>
      <c r="N68" s="150"/>
      <c r="O68" s="150"/>
      <c r="P68" s="254"/>
      <c r="Q68" s="254"/>
      <c r="R68" s="254"/>
      <c r="S68" s="254"/>
      <c r="T68" s="254"/>
      <c r="U68" s="150"/>
      <c r="V68" s="150"/>
      <c r="W68" s="150"/>
      <c r="X68" s="20"/>
      <c r="Y68" s="20"/>
      <c r="Z68" s="350"/>
    </row>
    <row r="69" spans="1:27" s="1" customFormat="1" ht="15" customHeight="1">
      <c r="A69" s="307"/>
      <c r="B69" s="44" t="s">
        <v>52</v>
      </c>
      <c r="C69" s="363"/>
      <c r="D69" s="354"/>
      <c r="E69" s="359"/>
      <c r="F69" s="359"/>
      <c r="G69" s="48">
        <f>H69+X69+Y69</f>
        <v>0</v>
      </c>
      <c r="H69" s="48">
        <f>H25</f>
        <v>0</v>
      </c>
      <c r="I69" s="48">
        <f t="shared" ref="I69:K69" si="5">I25</f>
        <v>0</v>
      </c>
      <c r="J69" s="48">
        <f t="shared" si="5"/>
        <v>0</v>
      </c>
      <c r="K69" s="48">
        <f t="shared" si="5"/>
        <v>0</v>
      </c>
      <c r="L69" s="151">
        <f t="shared" ref="L69" si="6">L25</f>
        <v>0</v>
      </c>
      <c r="M69" s="151"/>
      <c r="N69" s="151"/>
      <c r="O69" s="151"/>
      <c r="P69" s="253">
        <f t="shared" ref="P69" si="7">P25</f>
        <v>0</v>
      </c>
      <c r="Q69" s="253"/>
      <c r="R69" s="253"/>
      <c r="S69" s="253"/>
      <c r="T69" s="253">
        <f t="shared" ref="T69" si="8">T25</f>
        <v>0</v>
      </c>
      <c r="U69" s="151"/>
      <c r="V69" s="151"/>
      <c r="W69" s="151"/>
      <c r="X69" s="48">
        <f>X25</f>
        <v>0</v>
      </c>
      <c r="Y69" s="48">
        <f>Y25</f>
        <v>0</v>
      </c>
      <c r="Z69" s="350"/>
    </row>
    <row r="70" spans="1:27" s="1" customFormat="1">
      <c r="A70" s="307"/>
      <c r="B70" s="23" t="s">
        <v>30</v>
      </c>
      <c r="C70" s="363"/>
      <c r="D70" s="354"/>
      <c r="E70" s="359"/>
      <c r="F70" s="359"/>
      <c r="G70" s="20">
        <f>SUM(G71:G73)</f>
        <v>0</v>
      </c>
      <c r="H70" s="20">
        <f>SUM(H71:H73)</f>
        <v>0</v>
      </c>
      <c r="I70" s="20">
        <f t="shared" ref="I70:K70" si="9">SUM(I71:I73)</f>
        <v>0</v>
      </c>
      <c r="J70" s="20">
        <f t="shared" si="9"/>
        <v>0</v>
      </c>
      <c r="K70" s="20">
        <f t="shared" si="9"/>
        <v>0</v>
      </c>
      <c r="L70" s="150">
        <f t="shared" ref="L70" si="10">SUM(L71:L73)</f>
        <v>0</v>
      </c>
      <c r="M70" s="150"/>
      <c r="N70" s="150"/>
      <c r="O70" s="150"/>
      <c r="P70" s="254">
        <f t="shared" ref="P70" si="11">SUM(P71:P73)</f>
        <v>0</v>
      </c>
      <c r="Q70" s="254"/>
      <c r="R70" s="254"/>
      <c r="S70" s="254"/>
      <c r="T70" s="254">
        <f t="shared" ref="T70" si="12">SUM(T71:T73)</f>
        <v>0</v>
      </c>
      <c r="U70" s="150"/>
      <c r="V70" s="150"/>
      <c r="W70" s="150"/>
      <c r="X70" s="20">
        <f>SUM(X71:X73)</f>
        <v>0</v>
      </c>
      <c r="Y70" s="20">
        <f>SUM(Y71:Y73)</f>
        <v>0</v>
      </c>
      <c r="Z70" s="350"/>
    </row>
    <row r="71" spans="1:27" s="1" customFormat="1" ht="15.75" customHeight="1">
      <c r="A71" s="308"/>
      <c r="B71" s="41" t="s">
        <v>31</v>
      </c>
      <c r="C71" s="364"/>
      <c r="D71" s="355"/>
      <c r="E71" s="311"/>
      <c r="F71" s="311"/>
      <c r="G71" s="48">
        <f>SUM(H71:Y71)</f>
        <v>0</v>
      </c>
      <c r="H71" s="48">
        <f t="shared" ref="H71:Y73" si="13">H27+H16</f>
        <v>0</v>
      </c>
      <c r="I71" s="48">
        <f t="shared" ref="I71:K71" si="14">I27+I16</f>
        <v>0</v>
      </c>
      <c r="J71" s="48">
        <f t="shared" si="14"/>
        <v>0</v>
      </c>
      <c r="K71" s="48">
        <f t="shared" si="14"/>
        <v>0</v>
      </c>
      <c r="L71" s="151">
        <f t="shared" ref="L71" si="15">L27+L16</f>
        <v>0</v>
      </c>
      <c r="M71" s="151"/>
      <c r="N71" s="151"/>
      <c r="O71" s="151"/>
      <c r="P71" s="253">
        <f t="shared" ref="P71:P73" si="16">P27+P16</f>
        <v>0</v>
      </c>
      <c r="Q71" s="253"/>
      <c r="R71" s="253"/>
      <c r="S71" s="253"/>
      <c r="T71" s="253">
        <f t="shared" ref="T71:T73" si="17">T27+T16</f>
        <v>0</v>
      </c>
      <c r="U71" s="151"/>
      <c r="V71" s="151"/>
      <c r="W71" s="151"/>
      <c r="X71" s="48">
        <f t="shared" si="13"/>
        <v>0</v>
      </c>
      <c r="Y71" s="48">
        <f t="shared" si="13"/>
        <v>0</v>
      </c>
      <c r="Z71" s="350"/>
    </row>
    <row r="72" spans="1:27" s="1" customFormat="1" ht="15.75" customHeight="1">
      <c r="A72" s="308"/>
      <c r="B72" s="41" t="s">
        <v>32</v>
      </c>
      <c r="C72" s="364"/>
      <c r="D72" s="355"/>
      <c r="E72" s="311"/>
      <c r="F72" s="311"/>
      <c r="G72" s="48">
        <f>SUM(H72:Y72)</f>
        <v>0</v>
      </c>
      <c r="H72" s="48">
        <f t="shared" si="13"/>
        <v>0</v>
      </c>
      <c r="I72" s="48">
        <f t="shared" ref="I72:K72" si="18">I28+I17</f>
        <v>0</v>
      </c>
      <c r="J72" s="48">
        <f t="shared" si="18"/>
        <v>0</v>
      </c>
      <c r="K72" s="48">
        <f t="shared" si="18"/>
        <v>0</v>
      </c>
      <c r="L72" s="151">
        <f t="shared" ref="L72" si="19">L28+L17</f>
        <v>0</v>
      </c>
      <c r="M72" s="151"/>
      <c r="N72" s="151"/>
      <c r="O72" s="151"/>
      <c r="P72" s="253">
        <f t="shared" si="16"/>
        <v>0</v>
      </c>
      <c r="Q72" s="253"/>
      <c r="R72" s="253"/>
      <c r="S72" s="253"/>
      <c r="T72" s="253">
        <f t="shared" si="17"/>
        <v>0</v>
      </c>
      <c r="U72" s="151"/>
      <c r="V72" s="151"/>
      <c r="W72" s="151"/>
      <c r="X72" s="48">
        <f t="shared" si="13"/>
        <v>0</v>
      </c>
      <c r="Y72" s="48">
        <f t="shared" si="13"/>
        <v>0</v>
      </c>
      <c r="Z72" s="350"/>
    </row>
    <row r="73" spans="1:27" s="1" customFormat="1" ht="15.75" customHeight="1">
      <c r="A73" s="308"/>
      <c r="B73" s="41" t="s">
        <v>33</v>
      </c>
      <c r="C73" s="364"/>
      <c r="D73" s="355"/>
      <c r="E73" s="311"/>
      <c r="F73" s="311"/>
      <c r="G73" s="48">
        <f>SUM(H73:Y73)</f>
        <v>0</v>
      </c>
      <c r="H73" s="48">
        <f>H29+H18</f>
        <v>0</v>
      </c>
      <c r="I73" s="48">
        <f t="shared" ref="I73:K73" si="20">I29+I18</f>
        <v>0</v>
      </c>
      <c r="J73" s="48">
        <f t="shared" si="20"/>
        <v>0</v>
      </c>
      <c r="K73" s="48">
        <f t="shared" si="20"/>
        <v>0</v>
      </c>
      <c r="L73" s="151">
        <f t="shared" ref="L73" si="21">L29+L18</f>
        <v>0</v>
      </c>
      <c r="M73" s="151"/>
      <c r="N73" s="151"/>
      <c r="O73" s="151"/>
      <c r="P73" s="253">
        <f t="shared" si="16"/>
        <v>0</v>
      </c>
      <c r="Q73" s="253"/>
      <c r="R73" s="253"/>
      <c r="S73" s="253"/>
      <c r="T73" s="253">
        <f t="shared" si="17"/>
        <v>0</v>
      </c>
      <c r="U73" s="151"/>
      <c r="V73" s="151"/>
      <c r="W73" s="151"/>
      <c r="X73" s="48">
        <f t="shared" si="13"/>
        <v>0</v>
      </c>
      <c r="Y73" s="48">
        <f t="shared" si="13"/>
        <v>0</v>
      </c>
      <c r="Z73" s="350"/>
    </row>
    <row r="74" spans="1:27" ht="15.75" customHeight="1">
      <c r="A74" s="308"/>
      <c r="B74" s="23" t="s">
        <v>37</v>
      </c>
      <c r="C74" s="364"/>
      <c r="D74" s="355"/>
      <c r="E74" s="311"/>
      <c r="F74" s="311"/>
      <c r="G74" s="20">
        <f>SUM(H74:Y74)</f>
        <v>0</v>
      </c>
      <c r="H74" s="20"/>
      <c r="I74" s="20"/>
      <c r="J74" s="20"/>
      <c r="K74" s="20"/>
      <c r="L74" s="150"/>
      <c r="M74" s="150"/>
      <c r="N74" s="150"/>
      <c r="O74" s="150"/>
      <c r="P74" s="254"/>
      <c r="Q74" s="254"/>
      <c r="R74" s="254"/>
      <c r="S74" s="254"/>
      <c r="T74" s="150"/>
      <c r="U74" s="150"/>
      <c r="V74" s="150"/>
      <c r="W74" s="150"/>
      <c r="X74" s="20"/>
      <c r="Y74" s="20"/>
      <c r="Z74" s="350"/>
    </row>
    <row r="75" spans="1:27" ht="15.75" customHeight="1">
      <c r="A75" s="309"/>
      <c r="B75" s="23" t="s">
        <v>38</v>
      </c>
      <c r="C75" s="365"/>
      <c r="D75" s="356"/>
      <c r="E75" s="312"/>
      <c r="F75" s="312"/>
      <c r="G75" s="20">
        <f>SUM(H75:Y75)</f>
        <v>0</v>
      </c>
      <c r="H75" s="20"/>
      <c r="I75" s="20"/>
      <c r="J75" s="20"/>
      <c r="K75" s="20"/>
      <c r="L75" s="150"/>
      <c r="M75" s="150"/>
      <c r="N75" s="150"/>
      <c r="O75" s="150"/>
      <c r="P75" s="254"/>
      <c r="Q75" s="254"/>
      <c r="R75" s="254"/>
      <c r="S75" s="254"/>
      <c r="T75" s="150"/>
      <c r="U75" s="150"/>
      <c r="V75" s="150"/>
      <c r="W75" s="150"/>
      <c r="X75" s="20"/>
      <c r="Y75" s="20"/>
      <c r="Z75" s="351"/>
    </row>
    <row r="76" spans="1:27">
      <c r="B76" s="82"/>
      <c r="C76" s="5"/>
      <c r="D76" s="5"/>
      <c r="E76" s="49"/>
      <c r="F76" s="49"/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4"/>
      <c r="Y76" s="29"/>
    </row>
    <row r="77" spans="1:27" ht="14.25">
      <c r="A77" s="81">
        <v>2</v>
      </c>
      <c r="B77" s="80" t="s">
        <v>65</v>
      </c>
      <c r="C77" s="18"/>
      <c r="D77" s="18"/>
      <c r="E77" s="43"/>
      <c r="F77" s="43"/>
      <c r="G77" s="30"/>
      <c r="H77" s="45"/>
      <c r="I77" s="46"/>
      <c r="J77" s="46"/>
      <c r="K77" s="83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39"/>
    </row>
    <row r="78" spans="1:27" ht="36.75" hidden="1" customHeight="1">
      <c r="A78" s="320" t="s">
        <v>66</v>
      </c>
      <c r="B78" s="19" t="s">
        <v>116</v>
      </c>
      <c r="C78" s="321" t="s">
        <v>58</v>
      </c>
      <c r="D78" s="304" t="s">
        <v>3</v>
      </c>
      <c r="E78" s="328">
        <v>0.115</v>
      </c>
      <c r="F78" s="325" t="s">
        <v>17</v>
      </c>
      <c r="G78" s="25">
        <f>G79+G81+G83+G87+G88</f>
        <v>0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360"/>
    </row>
    <row r="79" spans="1:27" hidden="1">
      <c r="A79" s="314"/>
      <c r="B79" s="22" t="s">
        <v>127</v>
      </c>
      <c r="C79" s="322"/>
      <c r="D79" s="305"/>
      <c r="E79" s="329"/>
      <c r="F79" s="326"/>
      <c r="G79" s="323">
        <f>SUM(H79:Y79)</f>
        <v>0</v>
      </c>
      <c r="H79" s="323"/>
      <c r="I79" s="27"/>
      <c r="J79" s="27"/>
      <c r="K79" s="27"/>
      <c r="L79" s="143"/>
      <c r="M79" s="143"/>
      <c r="N79" s="143"/>
      <c r="O79" s="143"/>
      <c r="P79" s="245"/>
      <c r="Q79" s="245"/>
      <c r="R79" s="245"/>
      <c r="S79" s="245"/>
      <c r="T79" s="143"/>
      <c r="U79" s="143"/>
      <c r="V79" s="143"/>
      <c r="W79" s="143"/>
      <c r="X79" s="323"/>
      <c r="Y79" s="323"/>
      <c r="Z79" s="307"/>
    </row>
    <row r="80" spans="1:27" hidden="1">
      <c r="A80" s="314"/>
      <c r="B80" s="68" t="s">
        <v>107</v>
      </c>
      <c r="C80" s="322"/>
      <c r="D80" s="305"/>
      <c r="E80" s="329"/>
      <c r="F80" s="326"/>
      <c r="G80" s="324"/>
      <c r="H80" s="324"/>
      <c r="I80" s="28"/>
      <c r="J80" s="28"/>
      <c r="K80" s="28"/>
      <c r="L80" s="144"/>
      <c r="M80" s="144"/>
      <c r="N80" s="144"/>
      <c r="O80" s="144"/>
      <c r="P80" s="247"/>
      <c r="Q80" s="247"/>
      <c r="R80" s="247"/>
      <c r="S80" s="247"/>
      <c r="T80" s="144"/>
      <c r="U80" s="144"/>
      <c r="V80" s="144"/>
      <c r="W80" s="144"/>
      <c r="X80" s="324"/>
      <c r="Y80" s="324"/>
      <c r="Z80" s="307"/>
    </row>
    <row r="81" spans="1:26" hidden="1">
      <c r="A81" s="314"/>
      <c r="B81" s="23" t="s">
        <v>29</v>
      </c>
      <c r="C81" s="322"/>
      <c r="D81" s="305"/>
      <c r="E81" s="329"/>
      <c r="F81" s="326"/>
      <c r="G81" s="20">
        <f>SUM(G82)</f>
        <v>0</v>
      </c>
      <c r="H81" s="28"/>
      <c r="I81" s="28"/>
      <c r="J81" s="28"/>
      <c r="K81" s="28"/>
      <c r="L81" s="144"/>
      <c r="M81" s="144"/>
      <c r="N81" s="144"/>
      <c r="O81" s="144"/>
      <c r="P81" s="247"/>
      <c r="Q81" s="247"/>
      <c r="R81" s="247"/>
      <c r="S81" s="247"/>
      <c r="T81" s="144"/>
      <c r="U81" s="144"/>
      <c r="V81" s="144"/>
      <c r="W81" s="144"/>
      <c r="X81" s="28"/>
      <c r="Y81" s="28"/>
      <c r="Z81" s="307"/>
    </row>
    <row r="82" spans="1:26" hidden="1">
      <c r="A82" s="314"/>
      <c r="B82" s="44" t="s">
        <v>39</v>
      </c>
      <c r="C82" s="322"/>
      <c r="D82" s="305"/>
      <c r="E82" s="329"/>
      <c r="F82" s="326"/>
      <c r="G82" s="48">
        <f>SUM(H82:Y82)</f>
        <v>0</v>
      </c>
      <c r="H82" s="28"/>
      <c r="I82" s="28"/>
      <c r="J82" s="28"/>
      <c r="K82" s="28"/>
      <c r="L82" s="144"/>
      <c r="M82" s="144"/>
      <c r="N82" s="144"/>
      <c r="O82" s="144"/>
      <c r="P82" s="247"/>
      <c r="Q82" s="247"/>
      <c r="R82" s="247"/>
      <c r="S82" s="247"/>
      <c r="T82" s="144"/>
      <c r="U82" s="144"/>
      <c r="V82" s="144"/>
      <c r="W82" s="144"/>
      <c r="X82" s="28"/>
      <c r="Y82" s="28"/>
      <c r="Z82" s="307"/>
    </row>
    <row r="83" spans="1:26" hidden="1">
      <c r="A83" s="314"/>
      <c r="B83" s="23" t="s">
        <v>30</v>
      </c>
      <c r="C83" s="322"/>
      <c r="D83" s="305"/>
      <c r="E83" s="329"/>
      <c r="F83" s="326"/>
      <c r="G83" s="20">
        <f>SUM(G84:G86)</f>
        <v>0</v>
      </c>
      <c r="H83" s="20">
        <f>SUM(H84:H86)</f>
        <v>0</v>
      </c>
      <c r="I83" s="20"/>
      <c r="J83" s="20"/>
      <c r="K83" s="20"/>
      <c r="L83" s="150"/>
      <c r="M83" s="150"/>
      <c r="N83" s="150"/>
      <c r="O83" s="150"/>
      <c r="P83" s="254"/>
      <c r="Q83" s="254"/>
      <c r="R83" s="254"/>
      <c r="S83" s="254"/>
      <c r="T83" s="150"/>
      <c r="U83" s="150"/>
      <c r="V83" s="150"/>
      <c r="W83" s="150"/>
      <c r="X83" s="20">
        <f>SUM(X84:X86)</f>
        <v>0</v>
      </c>
      <c r="Y83" s="20">
        <f>SUM(Y84:Y86)</f>
        <v>0</v>
      </c>
      <c r="Z83" s="307"/>
    </row>
    <row r="84" spans="1:26" hidden="1">
      <c r="A84" s="314"/>
      <c r="B84" s="44" t="s">
        <v>41</v>
      </c>
      <c r="C84" s="322"/>
      <c r="D84" s="305"/>
      <c r="E84" s="329"/>
      <c r="F84" s="326"/>
      <c r="G84" s="48">
        <f>SUM(H84:Y84)</f>
        <v>0</v>
      </c>
      <c r="H84" s="20"/>
      <c r="I84" s="20"/>
      <c r="J84" s="20"/>
      <c r="K84" s="20"/>
      <c r="L84" s="150"/>
      <c r="M84" s="150"/>
      <c r="N84" s="150"/>
      <c r="O84" s="150"/>
      <c r="P84" s="254"/>
      <c r="Q84" s="254"/>
      <c r="R84" s="254"/>
      <c r="S84" s="254"/>
      <c r="T84" s="150"/>
      <c r="U84" s="150"/>
      <c r="V84" s="150"/>
      <c r="W84" s="150"/>
      <c r="X84" s="20"/>
      <c r="Y84" s="20"/>
      <c r="Z84" s="307"/>
    </row>
    <row r="85" spans="1:26" hidden="1">
      <c r="A85" s="314"/>
      <c r="B85" s="41" t="s">
        <v>32</v>
      </c>
      <c r="C85" s="322"/>
      <c r="D85" s="305"/>
      <c r="E85" s="329"/>
      <c r="F85" s="326"/>
      <c r="G85" s="48">
        <f>SUM(H85:Y85)</f>
        <v>0</v>
      </c>
      <c r="H85" s="20"/>
      <c r="I85" s="20"/>
      <c r="J85" s="20"/>
      <c r="K85" s="20"/>
      <c r="L85" s="150"/>
      <c r="M85" s="150"/>
      <c r="N85" s="150"/>
      <c r="O85" s="150"/>
      <c r="P85" s="254"/>
      <c r="Q85" s="254"/>
      <c r="R85" s="254"/>
      <c r="S85" s="254"/>
      <c r="T85" s="150"/>
      <c r="U85" s="150"/>
      <c r="V85" s="150"/>
      <c r="W85" s="150"/>
      <c r="X85" s="20"/>
      <c r="Y85" s="20"/>
      <c r="Z85" s="307"/>
    </row>
    <row r="86" spans="1:26" hidden="1">
      <c r="A86" s="314"/>
      <c r="B86" s="41" t="s">
        <v>33</v>
      </c>
      <c r="C86" s="322"/>
      <c r="D86" s="305"/>
      <c r="E86" s="329"/>
      <c r="F86" s="326"/>
      <c r="G86" s="48">
        <f>SUM(H86:Y86)</f>
        <v>0</v>
      </c>
      <c r="H86" s="48"/>
      <c r="I86" s="48"/>
      <c r="J86" s="48"/>
      <c r="K86" s="48"/>
      <c r="L86" s="151"/>
      <c r="M86" s="151"/>
      <c r="N86" s="151"/>
      <c r="O86" s="151"/>
      <c r="P86" s="253"/>
      <c r="Q86" s="253"/>
      <c r="R86" s="253"/>
      <c r="S86" s="253"/>
      <c r="T86" s="151"/>
      <c r="U86" s="151"/>
      <c r="V86" s="151"/>
      <c r="W86" s="151"/>
      <c r="X86" s="20"/>
      <c r="Y86" s="20"/>
      <c r="Z86" s="307"/>
    </row>
    <row r="87" spans="1:26" hidden="1">
      <c r="A87" s="314"/>
      <c r="B87" s="23" t="s">
        <v>37</v>
      </c>
      <c r="C87" s="322"/>
      <c r="D87" s="305"/>
      <c r="E87" s="329"/>
      <c r="F87" s="326"/>
      <c r="G87" s="20">
        <f>SUM(H87:Y87)</f>
        <v>0</v>
      </c>
      <c r="H87" s="20"/>
      <c r="I87" s="20"/>
      <c r="J87" s="20"/>
      <c r="K87" s="20"/>
      <c r="L87" s="150"/>
      <c r="M87" s="150"/>
      <c r="N87" s="150"/>
      <c r="O87" s="150"/>
      <c r="P87" s="254"/>
      <c r="Q87" s="254"/>
      <c r="R87" s="254"/>
      <c r="S87" s="254"/>
      <c r="T87" s="150"/>
      <c r="U87" s="150"/>
      <c r="V87" s="150"/>
      <c r="W87" s="150"/>
      <c r="X87" s="20"/>
      <c r="Y87" s="20"/>
      <c r="Z87" s="307"/>
    </row>
    <row r="88" spans="1:26" hidden="1">
      <c r="A88" s="315"/>
      <c r="B88" s="23" t="s">
        <v>38</v>
      </c>
      <c r="C88" s="371"/>
      <c r="D88" s="306"/>
      <c r="E88" s="330"/>
      <c r="F88" s="327"/>
      <c r="G88" s="20">
        <f>SUM(H88:Y88)</f>
        <v>0</v>
      </c>
      <c r="H88" s="20"/>
      <c r="I88" s="20"/>
      <c r="J88" s="20"/>
      <c r="K88" s="20"/>
      <c r="L88" s="150"/>
      <c r="M88" s="150"/>
      <c r="N88" s="150"/>
      <c r="O88" s="150"/>
      <c r="P88" s="254"/>
      <c r="Q88" s="254"/>
      <c r="R88" s="254"/>
      <c r="S88" s="254"/>
      <c r="T88" s="150"/>
      <c r="U88" s="150"/>
      <c r="V88" s="150"/>
      <c r="W88" s="150"/>
      <c r="X88" s="20"/>
      <c r="Y88" s="20"/>
      <c r="Z88" s="361"/>
    </row>
    <row r="89" spans="1:26" ht="25.5" customHeight="1">
      <c r="A89" s="313" t="s">
        <v>66</v>
      </c>
      <c r="B89" s="13" t="s">
        <v>21</v>
      </c>
      <c r="C89" s="316" t="s">
        <v>58</v>
      </c>
      <c r="D89" s="304" t="s">
        <v>0</v>
      </c>
      <c r="E89" s="328">
        <v>0.14000000000000001</v>
      </c>
      <c r="F89" s="328" t="s">
        <v>17</v>
      </c>
      <c r="G89" s="25">
        <f>G90+G92+G94+G98+G99</f>
        <v>43392.899999999994</v>
      </c>
      <c r="H89" s="20"/>
      <c r="I89" s="20"/>
      <c r="J89" s="20"/>
      <c r="K89" s="20"/>
      <c r="L89" s="25">
        <f>L90+L92+L94+L98+L99</f>
        <v>14464.3</v>
      </c>
      <c r="M89" s="150"/>
      <c r="N89" s="150"/>
      <c r="O89" s="150"/>
      <c r="P89" s="25">
        <f>P90+P92+P94+P98+P99</f>
        <v>0</v>
      </c>
      <c r="Q89" s="254"/>
      <c r="R89" s="254"/>
      <c r="S89" s="254"/>
      <c r="T89" s="26">
        <f t="shared" ref="T89:T99" si="22">L89+H89</f>
        <v>14464.3</v>
      </c>
      <c r="U89" s="150"/>
      <c r="V89" s="150"/>
      <c r="W89" s="150"/>
      <c r="X89" s="20"/>
      <c r="Y89" s="20"/>
      <c r="Z89" s="360"/>
    </row>
    <row r="90" spans="1:26">
      <c r="A90" s="314"/>
      <c r="B90" s="22" t="s">
        <v>127</v>
      </c>
      <c r="C90" s="317"/>
      <c r="D90" s="307"/>
      <c r="E90" s="308"/>
      <c r="F90" s="308"/>
      <c r="G90" s="323">
        <f>SUM(H90:Y90)</f>
        <v>43392.899999999994</v>
      </c>
      <c r="H90" s="323"/>
      <c r="I90" s="27"/>
      <c r="J90" s="27"/>
      <c r="K90" s="27"/>
      <c r="L90" s="323">
        <v>14464.3</v>
      </c>
      <c r="M90" s="143"/>
      <c r="N90" s="143"/>
      <c r="O90" s="143"/>
      <c r="P90" s="323">
        <v>0</v>
      </c>
      <c r="Q90" s="245"/>
      <c r="R90" s="245"/>
      <c r="S90" s="245"/>
      <c r="T90" s="323">
        <f t="shared" si="22"/>
        <v>14464.3</v>
      </c>
      <c r="U90" s="143"/>
      <c r="V90" s="143"/>
      <c r="W90" s="143"/>
      <c r="X90" s="323">
        <v>14464.3</v>
      </c>
      <c r="Y90" s="323"/>
      <c r="Z90" s="307"/>
    </row>
    <row r="91" spans="1:26">
      <c r="A91" s="314"/>
      <c r="B91" s="68" t="s">
        <v>107</v>
      </c>
      <c r="C91" s="317"/>
      <c r="D91" s="307"/>
      <c r="E91" s="308"/>
      <c r="F91" s="308"/>
      <c r="G91" s="297"/>
      <c r="H91" s="324"/>
      <c r="I91" s="28"/>
      <c r="J91" s="28"/>
      <c r="K91" s="28"/>
      <c r="L91" s="297"/>
      <c r="M91" s="144"/>
      <c r="N91" s="144"/>
      <c r="O91" s="144"/>
      <c r="P91" s="297"/>
      <c r="Q91" s="247"/>
      <c r="R91" s="247"/>
      <c r="S91" s="247"/>
      <c r="T91" s="297">
        <f t="shared" si="22"/>
        <v>0</v>
      </c>
      <c r="U91" s="144"/>
      <c r="V91" s="144"/>
      <c r="W91" s="144"/>
      <c r="X91" s="324"/>
      <c r="Y91" s="324"/>
      <c r="Z91" s="307"/>
    </row>
    <row r="92" spans="1:26">
      <c r="A92" s="314"/>
      <c r="B92" s="51" t="s">
        <v>29</v>
      </c>
      <c r="C92" s="317"/>
      <c r="D92" s="307"/>
      <c r="E92" s="308"/>
      <c r="F92" s="308"/>
      <c r="G92" s="150">
        <v>0</v>
      </c>
      <c r="H92" s="28"/>
      <c r="I92" s="28"/>
      <c r="J92" s="28"/>
      <c r="K92" s="28"/>
      <c r="L92" s="150">
        <v>0</v>
      </c>
      <c r="M92" s="144"/>
      <c r="N92" s="144"/>
      <c r="O92" s="144"/>
      <c r="P92" s="254">
        <v>0</v>
      </c>
      <c r="Q92" s="247"/>
      <c r="R92" s="247"/>
      <c r="S92" s="247"/>
      <c r="T92" s="26">
        <f t="shared" si="22"/>
        <v>0</v>
      </c>
      <c r="U92" s="144"/>
      <c r="V92" s="144"/>
      <c r="W92" s="144"/>
      <c r="X92" s="28"/>
      <c r="Y92" s="28"/>
      <c r="Z92" s="307"/>
    </row>
    <row r="93" spans="1:26">
      <c r="A93" s="314"/>
      <c r="B93" s="44" t="s">
        <v>39</v>
      </c>
      <c r="C93" s="317"/>
      <c r="D93" s="307"/>
      <c r="E93" s="308"/>
      <c r="F93" s="308"/>
      <c r="G93" s="151">
        <v>0</v>
      </c>
      <c r="H93" s="28"/>
      <c r="I93" s="28"/>
      <c r="J93" s="28"/>
      <c r="K93" s="28"/>
      <c r="L93" s="151">
        <v>0</v>
      </c>
      <c r="M93" s="144"/>
      <c r="N93" s="144"/>
      <c r="O93" s="144"/>
      <c r="P93" s="253">
        <v>0</v>
      </c>
      <c r="Q93" s="247"/>
      <c r="R93" s="247"/>
      <c r="S93" s="247"/>
      <c r="T93" s="26">
        <f t="shared" si="22"/>
        <v>0</v>
      </c>
      <c r="U93" s="144"/>
      <c r="V93" s="144"/>
      <c r="W93" s="144"/>
      <c r="X93" s="28"/>
      <c r="Y93" s="28"/>
      <c r="Z93" s="307"/>
    </row>
    <row r="94" spans="1:26">
      <c r="A94" s="314"/>
      <c r="B94" s="23" t="s">
        <v>30</v>
      </c>
      <c r="C94" s="317"/>
      <c r="D94" s="307"/>
      <c r="E94" s="308"/>
      <c r="F94" s="308"/>
      <c r="G94" s="150">
        <v>0</v>
      </c>
      <c r="H94" s="28"/>
      <c r="I94" s="28"/>
      <c r="J94" s="28"/>
      <c r="K94" s="28"/>
      <c r="L94" s="150">
        <v>0</v>
      </c>
      <c r="M94" s="144"/>
      <c r="N94" s="144"/>
      <c r="O94" s="144"/>
      <c r="P94" s="254">
        <v>0</v>
      </c>
      <c r="Q94" s="247"/>
      <c r="R94" s="247"/>
      <c r="S94" s="247"/>
      <c r="T94" s="26">
        <f t="shared" si="22"/>
        <v>0</v>
      </c>
      <c r="U94" s="144"/>
      <c r="V94" s="144"/>
      <c r="W94" s="144"/>
      <c r="X94" s="28"/>
      <c r="Y94" s="28"/>
      <c r="Z94" s="307"/>
    </row>
    <row r="95" spans="1:26">
      <c r="A95" s="314"/>
      <c r="B95" s="44" t="s">
        <v>41</v>
      </c>
      <c r="C95" s="318"/>
      <c r="D95" s="308"/>
      <c r="E95" s="308"/>
      <c r="F95" s="308"/>
      <c r="G95" s="151">
        <v>0</v>
      </c>
      <c r="H95" s="20"/>
      <c r="I95" s="20"/>
      <c r="J95" s="20"/>
      <c r="K95" s="20"/>
      <c r="L95" s="151">
        <v>0</v>
      </c>
      <c r="M95" s="150"/>
      <c r="N95" s="150"/>
      <c r="O95" s="150"/>
      <c r="P95" s="253">
        <v>0</v>
      </c>
      <c r="Q95" s="254"/>
      <c r="R95" s="254"/>
      <c r="S95" s="254"/>
      <c r="T95" s="26">
        <f t="shared" si="22"/>
        <v>0</v>
      </c>
      <c r="U95" s="150"/>
      <c r="V95" s="150"/>
      <c r="W95" s="150"/>
      <c r="X95" s="20"/>
      <c r="Y95" s="20"/>
      <c r="Z95" s="308"/>
    </row>
    <row r="96" spans="1:26">
      <c r="A96" s="314"/>
      <c r="B96" s="41" t="s">
        <v>32</v>
      </c>
      <c r="C96" s="318"/>
      <c r="D96" s="308"/>
      <c r="E96" s="308"/>
      <c r="F96" s="308"/>
      <c r="G96" s="151">
        <v>0</v>
      </c>
      <c r="H96" s="20"/>
      <c r="I96" s="20"/>
      <c r="J96" s="20"/>
      <c r="K96" s="20"/>
      <c r="L96" s="151">
        <v>0</v>
      </c>
      <c r="M96" s="150"/>
      <c r="N96" s="150"/>
      <c r="O96" s="150"/>
      <c r="P96" s="253">
        <v>0</v>
      </c>
      <c r="Q96" s="254"/>
      <c r="R96" s="254"/>
      <c r="S96" s="254"/>
      <c r="T96" s="26">
        <f t="shared" si="22"/>
        <v>0</v>
      </c>
      <c r="U96" s="150"/>
      <c r="V96" s="150"/>
      <c r="W96" s="150"/>
      <c r="X96" s="20"/>
      <c r="Y96" s="20"/>
      <c r="Z96" s="308"/>
    </row>
    <row r="97" spans="1:26">
      <c r="A97" s="314"/>
      <c r="B97" s="41" t="s">
        <v>33</v>
      </c>
      <c r="C97" s="318"/>
      <c r="D97" s="308"/>
      <c r="E97" s="308"/>
      <c r="F97" s="308"/>
      <c r="G97" s="151">
        <v>0</v>
      </c>
      <c r="H97" s="20"/>
      <c r="I97" s="20"/>
      <c r="J97" s="20"/>
      <c r="K97" s="20"/>
      <c r="L97" s="151">
        <v>0</v>
      </c>
      <c r="M97" s="150"/>
      <c r="N97" s="150"/>
      <c r="O97" s="150"/>
      <c r="P97" s="253">
        <v>0</v>
      </c>
      <c r="Q97" s="254"/>
      <c r="R97" s="254"/>
      <c r="S97" s="254"/>
      <c r="T97" s="26">
        <f t="shared" si="22"/>
        <v>0</v>
      </c>
      <c r="U97" s="150"/>
      <c r="V97" s="150"/>
      <c r="W97" s="150"/>
      <c r="X97" s="20"/>
      <c r="Y97" s="20"/>
      <c r="Z97" s="308"/>
    </row>
    <row r="98" spans="1:26">
      <c r="A98" s="314"/>
      <c r="B98" s="23" t="s">
        <v>37</v>
      </c>
      <c r="C98" s="318"/>
      <c r="D98" s="308"/>
      <c r="E98" s="308"/>
      <c r="F98" s="308"/>
      <c r="G98" s="150">
        <v>0</v>
      </c>
      <c r="H98" s="20"/>
      <c r="I98" s="20"/>
      <c r="J98" s="20"/>
      <c r="K98" s="20"/>
      <c r="L98" s="150">
        <v>0</v>
      </c>
      <c r="M98" s="150"/>
      <c r="N98" s="150"/>
      <c r="O98" s="150"/>
      <c r="P98" s="254">
        <v>0</v>
      </c>
      <c r="Q98" s="254"/>
      <c r="R98" s="254"/>
      <c r="S98" s="254"/>
      <c r="T98" s="26">
        <f t="shared" si="22"/>
        <v>0</v>
      </c>
      <c r="U98" s="150"/>
      <c r="V98" s="150"/>
      <c r="W98" s="150"/>
      <c r="X98" s="20"/>
      <c r="Y98" s="20"/>
      <c r="Z98" s="308"/>
    </row>
    <row r="99" spans="1:26">
      <c r="A99" s="315"/>
      <c r="B99" s="23" t="s">
        <v>38</v>
      </c>
      <c r="C99" s="319"/>
      <c r="D99" s="309"/>
      <c r="E99" s="309"/>
      <c r="F99" s="309"/>
      <c r="G99" s="150">
        <v>0</v>
      </c>
      <c r="H99" s="20"/>
      <c r="I99" s="20"/>
      <c r="J99" s="20"/>
      <c r="K99" s="20"/>
      <c r="L99" s="150">
        <v>0</v>
      </c>
      <c r="M99" s="150"/>
      <c r="N99" s="150"/>
      <c r="O99" s="150"/>
      <c r="P99" s="254">
        <v>0</v>
      </c>
      <c r="Q99" s="254"/>
      <c r="R99" s="254"/>
      <c r="S99" s="254"/>
      <c r="T99" s="26">
        <f t="shared" si="22"/>
        <v>0</v>
      </c>
      <c r="U99" s="150"/>
      <c r="V99" s="150"/>
      <c r="W99" s="150"/>
      <c r="X99" s="20"/>
      <c r="Y99" s="20"/>
      <c r="Z99" s="309"/>
    </row>
    <row r="100" spans="1:26" ht="25.5" customHeight="1">
      <c r="A100" s="313" t="s">
        <v>67</v>
      </c>
      <c r="B100" s="19" t="s">
        <v>85</v>
      </c>
      <c r="C100" s="321" t="s">
        <v>43</v>
      </c>
      <c r="D100" s="304" t="s">
        <v>9</v>
      </c>
      <c r="E100" s="328">
        <v>1.1000000000000001</v>
      </c>
      <c r="F100" s="325" t="s">
        <v>18</v>
      </c>
      <c r="G100" s="25">
        <f>G101+G103+G105+G109+G110</f>
        <v>131996.70000000001</v>
      </c>
      <c r="H100" s="26"/>
      <c r="I100" s="26"/>
      <c r="J100" s="26"/>
      <c r="K100" s="26"/>
      <c r="L100" s="25">
        <f>L101+L103+L105+L109+L110</f>
        <v>13199.7</v>
      </c>
      <c r="M100" s="26"/>
      <c r="N100" s="26"/>
      <c r="O100" s="26"/>
      <c r="P100" s="25">
        <f>P101+P103+P105+P109+P110</f>
        <v>118797</v>
      </c>
      <c r="Q100" s="26"/>
      <c r="R100" s="26"/>
      <c r="S100" s="26"/>
      <c r="T100" s="26">
        <f>L100+H100+P100</f>
        <v>131996.70000000001</v>
      </c>
      <c r="U100" s="26"/>
      <c r="V100" s="26"/>
      <c r="W100" s="26"/>
      <c r="X100" s="26"/>
      <c r="Y100" s="26"/>
      <c r="Z100" s="360"/>
    </row>
    <row r="101" spans="1:26">
      <c r="A101" s="314"/>
      <c r="B101" s="22" t="s">
        <v>127</v>
      </c>
      <c r="C101" s="322"/>
      <c r="D101" s="307"/>
      <c r="E101" s="308"/>
      <c r="F101" s="326"/>
      <c r="G101" s="323">
        <v>131996.70000000001</v>
      </c>
      <c r="H101" s="323"/>
      <c r="I101" s="27"/>
      <c r="J101" s="27"/>
      <c r="K101" s="27"/>
      <c r="L101" s="323">
        <v>13199.7</v>
      </c>
      <c r="M101" s="143"/>
      <c r="N101" s="143"/>
      <c r="O101" s="143"/>
      <c r="P101" s="323">
        <v>118797</v>
      </c>
      <c r="Q101" s="245"/>
      <c r="R101" s="245"/>
      <c r="S101" s="245"/>
      <c r="T101" s="386">
        <f t="shared" ref="T101" si="23">L101+H101+P101</f>
        <v>131996.70000000001</v>
      </c>
      <c r="U101" s="143"/>
      <c r="V101" s="143"/>
      <c r="W101" s="143"/>
      <c r="X101" s="323">
        <v>13199.7</v>
      </c>
      <c r="Y101" s="323">
        <v>118797</v>
      </c>
      <c r="Z101" s="307"/>
    </row>
    <row r="102" spans="1:26">
      <c r="A102" s="314"/>
      <c r="B102" s="68" t="s">
        <v>107</v>
      </c>
      <c r="C102" s="322"/>
      <c r="D102" s="307"/>
      <c r="E102" s="308"/>
      <c r="F102" s="326"/>
      <c r="G102" s="297"/>
      <c r="H102" s="324"/>
      <c r="I102" s="28"/>
      <c r="J102" s="28"/>
      <c r="K102" s="28"/>
      <c r="L102" s="297"/>
      <c r="M102" s="144"/>
      <c r="N102" s="144"/>
      <c r="O102" s="144"/>
      <c r="P102" s="297"/>
      <c r="Q102" s="247"/>
      <c r="R102" s="247"/>
      <c r="S102" s="247"/>
      <c r="T102" s="309"/>
      <c r="U102" s="144"/>
      <c r="V102" s="144"/>
      <c r="W102" s="144"/>
      <c r="X102" s="324"/>
      <c r="Y102" s="324"/>
      <c r="Z102" s="307"/>
    </row>
    <row r="103" spans="1:26">
      <c r="A103" s="314"/>
      <c r="B103" s="23" t="s">
        <v>29</v>
      </c>
      <c r="C103" s="322"/>
      <c r="D103" s="307"/>
      <c r="E103" s="308"/>
      <c r="F103" s="326"/>
      <c r="G103" s="150">
        <v>0</v>
      </c>
      <c r="H103" s="28"/>
      <c r="I103" s="28"/>
      <c r="J103" s="28"/>
      <c r="K103" s="28"/>
      <c r="L103" s="150">
        <v>0</v>
      </c>
      <c r="M103" s="144"/>
      <c r="N103" s="144"/>
      <c r="O103" s="144"/>
      <c r="P103" s="254">
        <v>0</v>
      </c>
      <c r="Q103" s="247"/>
      <c r="R103" s="247"/>
      <c r="S103" s="247"/>
      <c r="T103" s="26">
        <f t="shared" ref="T103:T110" si="24">L103+H103</f>
        <v>0</v>
      </c>
      <c r="U103" s="144"/>
      <c r="V103" s="144"/>
      <c r="W103" s="144"/>
      <c r="X103" s="28"/>
      <c r="Y103" s="28"/>
      <c r="Z103" s="307"/>
    </row>
    <row r="104" spans="1:26">
      <c r="A104" s="314"/>
      <c r="B104" s="44" t="s">
        <v>39</v>
      </c>
      <c r="C104" s="322"/>
      <c r="D104" s="307"/>
      <c r="E104" s="308"/>
      <c r="F104" s="326"/>
      <c r="G104" s="151">
        <v>0</v>
      </c>
      <c r="H104" s="28"/>
      <c r="I104" s="28"/>
      <c r="J104" s="28"/>
      <c r="K104" s="28"/>
      <c r="L104" s="151">
        <v>0</v>
      </c>
      <c r="M104" s="144"/>
      <c r="N104" s="144"/>
      <c r="O104" s="144"/>
      <c r="P104" s="253">
        <v>0</v>
      </c>
      <c r="Q104" s="247"/>
      <c r="R104" s="247"/>
      <c r="S104" s="247"/>
      <c r="T104" s="26">
        <f t="shared" si="24"/>
        <v>0</v>
      </c>
      <c r="U104" s="144"/>
      <c r="V104" s="144"/>
      <c r="W104" s="144"/>
      <c r="X104" s="28"/>
      <c r="Y104" s="28"/>
      <c r="Z104" s="307"/>
    </row>
    <row r="105" spans="1:26">
      <c r="A105" s="314"/>
      <c r="B105" s="23" t="s">
        <v>30</v>
      </c>
      <c r="C105" s="322"/>
      <c r="D105" s="307"/>
      <c r="E105" s="308"/>
      <c r="F105" s="326"/>
      <c r="G105" s="150">
        <v>0</v>
      </c>
      <c r="H105" s="28"/>
      <c r="I105" s="28"/>
      <c r="J105" s="28"/>
      <c r="K105" s="28"/>
      <c r="L105" s="150">
        <v>0</v>
      </c>
      <c r="M105" s="144"/>
      <c r="N105" s="144"/>
      <c r="O105" s="144"/>
      <c r="P105" s="254">
        <v>0</v>
      </c>
      <c r="Q105" s="247"/>
      <c r="R105" s="247"/>
      <c r="S105" s="247"/>
      <c r="T105" s="26">
        <f t="shared" si="24"/>
        <v>0</v>
      </c>
      <c r="U105" s="144"/>
      <c r="V105" s="144"/>
      <c r="W105" s="144"/>
      <c r="X105" s="28"/>
      <c r="Y105" s="28"/>
      <c r="Z105" s="307"/>
    </row>
    <row r="106" spans="1:26">
      <c r="A106" s="314"/>
      <c r="B106" s="44" t="s">
        <v>41</v>
      </c>
      <c r="C106" s="318"/>
      <c r="D106" s="308"/>
      <c r="E106" s="308"/>
      <c r="F106" s="372"/>
      <c r="G106" s="151">
        <v>0</v>
      </c>
      <c r="H106" s="20"/>
      <c r="I106" s="20"/>
      <c r="J106" s="20"/>
      <c r="K106" s="20"/>
      <c r="L106" s="151">
        <v>0</v>
      </c>
      <c r="M106" s="150"/>
      <c r="N106" s="150"/>
      <c r="O106" s="150"/>
      <c r="P106" s="253">
        <v>0</v>
      </c>
      <c r="Q106" s="254"/>
      <c r="R106" s="254"/>
      <c r="S106" s="254"/>
      <c r="T106" s="26">
        <f t="shared" si="24"/>
        <v>0</v>
      </c>
      <c r="U106" s="150"/>
      <c r="V106" s="150"/>
      <c r="W106" s="150"/>
      <c r="X106" s="20"/>
      <c r="Y106" s="20"/>
      <c r="Z106" s="308"/>
    </row>
    <row r="107" spans="1:26">
      <c r="A107" s="314"/>
      <c r="B107" s="41" t="s">
        <v>32</v>
      </c>
      <c r="C107" s="318"/>
      <c r="D107" s="308"/>
      <c r="E107" s="308"/>
      <c r="F107" s="372"/>
      <c r="G107" s="151">
        <v>0</v>
      </c>
      <c r="H107" s="20"/>
      <c r="I107" s="20"/>
      <c r="J107" s="20"/>
      <c r="K107" s="20"/>
      <c r="L107" s="151">
        <v>0</v>
      </c>
      <c r="M107" s="150"/>
      <c r="N107" s="150"/>
      <c r="O107" s="150"/>
      <c r="P107" s="253">
        <v>0</v>
      </c>
      <c r="Q107" s="254"/>
      <c r="R107" s="254"/>
      <c r="S107" s="254"/>
      <c r="T107" s="26">
        <f t="shared" si="24"/>
        <v>0</v>
      </c>
      <c r="U107" s="150"/>
      <c r="V107" s="150"/>
      <c r="W107" s="150"/>
      <c r="X107" s="20"/>
      <c r="Y107" s="20"/>
      <c r="Z107" s="308"/>
    </row>
    <row r="108" spans="1:26">
      <c r="A108" s="314"/>
      <c r="B108" s="41" t="s">
        <v>33</v>
      </c>
      <c r="C108" s="318"/>
      <c r="D108" s="308"/>
      <c r="E108" s="308"/>
      <c r="F108" s="372"/>
      <c r="G108" s="151">
        <v>0</v>
      </c>
      <c r="H108" s="20"/>
      <c r="I108" s="20"/>
      <c r="J108" s="20"/>
      <c r="K108" s="20"/>
      <c r="L108" s="151">
        <v>0</v>
      </c>
      <c r="M108" s="150"/>
      <c r="N108" s="150"/>
      <c r="O108" s="150"/>
      <c r="P108" s="253">
        <v>0</v>
      </c>
      <c r="Q108" s="254"/>
      <c r="R108" s="254"/>
      <c r="S108" s="254"/>
      <c r="T108" s="26">
        <f t="shared" si="24"/>
        <v>0</v>
      </c>
      <c r="U108" s="150"/>
      <c r="V108" s="150"/>
      <c r="W108" s="150"/>
      <c r="X108" s="20"/>
      <c r="Y108" s="20"/>
      <c r="Z108" s="308"/>
    </row>
    <row r="109" spans="1:26">
      <c r="A109" s="314"/>
      <c r="B109" s="23" t="s">
        <v>37</v>
      </c>
      <c r="C109" s="318"/>
      <c r="D109" s="308"/>
      <c r="E109" s="308"/>
      <c r="F109" s="372"/>
      <c r="G109" s="150">
        <v>0</v>
      </c>
      <c r="H109" s="20"/>
      <c r="I109" s="20"/>
      <c r="J109" s="20"/>
      <c r="K109" s="20"/>
      <c r="L109" s="150">
        <v>0</v>
      </c>
      <c r="M109" s="150"/>
      <c r="N109" s="150"/>
      <c r="O109" s="150"/>
      <c r="P109" s="254">
        <v>0</v>
      </c>
      <c r="Q109" s="254"/>
      <c r="R109" s="254"/>
      <c r="S109" s="254"/>
      <c r="T109" s="26">
        <f t="shared" si="24"/>
        <v>0</v>
      </c>
      <c r="U109" s="150"/>
      <c r="V109" s="150"/>
      <c r="W109" s="150"/>
      <c r="X109" s="20"/>
      <c r="Y109" s="20"/>
      <c r="Z109" s="308"/>
    </row>
    <row r="110" spans="1:26">
      <c r="A110" s="315"/>
      <c r="B110" s="23" t="s">
        <v>38</v>
      </c>
      <c r="C110" s="319"/>
      <c r="D110" s="309"/>
      <c r="E110" s="309"/>
      <c r="F110" s="297"/>
      <c r="G110" s="150">
        <v>0</v>
      </c>
      <c r="H110" s="20"/>
      <c r="I110" s="20"/>
      <c r="J110" s="20"/>
      <c r="K110" s="20"/>
      <c r="L110" s="150">
        <v>0</v>
      </c>
      <c r="M110" s="150"/>
      <c r="N110" s="150"/>
      <c r="O110" s="150"/>
      <c r="P110" s="254">
        <v>0</v>
      </c>
      <c r="Q110" s="254"/>
      <c r="R110" s="254"/>
      <c r="S110" s="254"/>
      <c r="T110" s="26">
        <f t="shared" si="24"/>
        <v>0</v>
      </c>
      <c r="U110" s="150"/>
      <c r="V110" s="150"/>
      <c r="W110" s="150"/>
      <c r="X110" s="20"/>
      <c r="Y110" s="20"/>
      <c r="Z110" s="309"/>
    </row>
    <row r="111" spans="1:26" ht="27" customHeight="1">
      <c r="A111" s="313" t="s">
        <v>68</v>
      </c>
      <c r="B111" s="16" t="s">
        <v>95</v>
      </c>
      <c r="C111" s="321" t="s">
        <v>43</v>
      </c>
      <c r="D111" s="304" t="s">
        <v>9</v>
      </c>
      <c r="E111" s="328">
        <v>8.5</v>
      </c>
      <c r="F111" s="325" t="s">
        <v>18</v>
      </c>
      <c r="G111" s="25">
        <f>G112+G114+G116+G120+G121</f>
        <v>174813.6</v>
      </c>
      <c r="H111" s="26"/>
      <c r="I111" s="26"/>
      <c r="J111" s="26"/>
      <c r="K111" s="26"/>
      <c r="L111" s="25">
        <f>L112+L114+L116+L120+L121</f>
        <v>10678</v>
      </c>
      <c r="M111" s="26"/>
      <c r="N111" s="26"/>
      <c r="O111" s="26"/>
      <c r="P111" s="25">
        <f>P112+P114+P116+P120+P121</f>
        <v>164135.6</v>
      </c>
      <c r="Q111" s="26"/>
      <c r="R111" s="26"/>
      <c r="S111" s="26"/>
      <c r="T111" s="26">
        <f>L111+H111+P111</f>
        <v>174813.6</v>
      </c>
      <c r="U111" s="26"/>
      <c r="V111" s="26"/>
      <c r="W111" s="26"/>
      <c r="X111" s="26"/>
      <c r="Y111" s="26"/>
      <c r="Z111" s="360"/>
    </row>
    <row r="112" spans="1:26">
      <c r="A112" s="314"/>
      <c r="B112" s="22" t="s">
        <v>126</v>
      </c>
      <c r="C112" s="322"/>
      <c r="D112" s="307"/>
      <c r="E112" s="308"/>
      <c r="F112" s="326"/>
      <c r="G112" s="323">
        <v>174813.6</v>
      </c>
      <c r="H112" s="323"/>
      <c r="I112" s="27"/>
      <c r="J112" s="27"/>
      <c r="K112" s="27"/>
      <c r="L112" s="323">
        <v>10678</v>
      </c>
      <c r="M112" s="143"/>
      <c r="N112" s="143"/>
      <c r="O112" s="143"/>
      <c r="P112" s="323">
        <v>164135.6</v>
      </c>
      <c r="Q112" s="245"/>
      <c r="R112" s="245"/>
      <c r="S112" s="245"/>
      <c r="T112" s="386">
        <f t="shared" ref="T112" si="25">L112+H112+P112</f>
        <v>174813.6</v>
      </c>
      <c r="U112" s="143"/>
      <c r="V112" s="143"/>
      <c r="W112" s="143"/>
      <c r="X112" s="323">
        <v>10678</v>
      </c>
      <c r="Y112" s="323">
        <v>164135.6</v>
      </c>
      <c r="Z112" s="307"/>
    </row>
    <row r="113" spans="1:26">
      <c r="A113" s="314"/>
      <c r="B113" s="68" t="s">
        <v>107</v>
      </c>
      <c r="C113" s="322"/>
      <c r="D113" s="307"/>
      <c r="E113" s="308"/>
      <c r="F113" s="326"/>
      <c r="G113" s="297"/>
      <c r="H113" s="324"/>
      <c r="I113" s="28"/>
      <c r="J113" s="28"/>
      <c r="K113" s="28"/>
      <c r="L113" s="297"/>
      <c r="M113" s="144"/>
      <c r="N113" s="144"/>
      <c r="O113" s="144"/>
      <c r="P113" s="297"/>
      <c r="Q113" s="247"/>
      <c r="R113" s="247"/>
      <c r="S113" s="247"/>
      <c r="T113" s="309"/>
      <c r="U113" s="144"/>
      <c r="V113" s="144"/>
      <c r="W113" s="144"/>
      <c r="X113" s="324"/>
      <c r="Y113" s="324"/>
      <c r="Z113" s="307"/>
    </row>
    <row r="114" spans="1:26">
      <c r="A114" s="314"/>
      <c r="B114" s="23" t="s">
        <v>29</v>
      </c>
      <c r="C114" s="322"/>
      <c r="D114" s="307"/>
      <c r="E114" s="308"/>
      <c r="F114" s="326"/>
      <c r="G114" s="150">
        <v>0</v>
      </c>
      <c r="H114" s="28"/>
      <c r="I114" s="28"/>
      <c r="J114" s="28"/>
      <c r="K114" s="28"/>
      <c r="L114" s="150">
        <v>0</v>
      </c>
      <c r="M114" s="144"/>
      <c r="N114" s="144"/>
      <c r="O114" s="144"/>
      <c r="P114" s="254">
        <v>0</v>
      </c>
      <c r="Q114" s="247"/>
      <c r="R114" s="247"/>
      <c r="S114" s="247"/>
      <c r="T114" s="26">
        <f t="shared" ref="T114:T143" si="26">L114+H114</f>
        <v>0</v>
      </c>
      <c r="U114" s="144"/>
      <c r="V114" s="144"/>
      <c r="W114" s="144"/>
      <c r="X114" s="28"/>
      <c r="Y114" s="28"/>
      <c r="Z114" s="307"/>
    </row>
    <row r="115" spans="1:26">
      <c r="A115" s="314"/>
      <c r="B115" s="44" t="s">
        <v>39</v>
      </c>
      <c r="C115" s="322"/>
      <c r="D115" s="307"/>
      <c r="E115" s="308"/>
      <c r="F115" s="326"/>
      <c r="G115" s="151">
        <v>0</v>
      </c>
      <c r="H115" s="28"/>
      <c r="I115" s="28"/>
      <c r="J115" s="28"/>
      <c r="K115" s="28"/>
      <c r="L115" s="151">
        <v>0</v>
      </c>
      <c r="M115" s="144"/>
      <c r="N115" s="144"/>
      <c r="O115" s="144"/>
      <c r="P115" s="253">
        <v>0</v>
      </c>
      <c r="Q115" s="247"/>
      <c r="R115" s="247"/>
      <c r="S115" s="247"/>
      <c r="T115" s="26">
        <f t="shared" si="26"/>
        <v>0</v>
      </c>
      <c r="U115" s="144"/>
      <c r="V115" s="144"/>
      <c r="W115" s="144"/>
      <c r="X115" s="28"/>
      <c r="Y115" s="28"/>
      <c r="Z115" s="307"/>
    </row>
    <row r="116" spans="1:26">
      <c r="A116" s="314"/>
      <c r="B116" s="23" t="s">
        <v>30</v>
      </c>
      <c r="C116" s="322"/>
      <c r="D116" s="307"/>
      <c r="E116" s="308"/>
      <c r="F116" s="326"/>
      <c r="G116" s="150">
        <v>0</v>
      </c>
      <c r="H116" s="28"/>
      <c r="I116" s="28"/>
      <c r="J116" s="28"/>
      <c r="K116" s="28"/>
      <c r="L116" s="150">
        <v>0</v>
      </c>
      <c r="M116" s="144"/>
      <c r="N116" s="144"/>
      <c r="O116" s="144"/>
      <c r="P116" s="254">
        <v>0</v>
      </c>
      <c r="Q116" s="247"/>
      <c r="R116" s="247"/>
      <c r="S116" s="247"/>
      <c r="T116" s="26">
        <f t="shared" si="26"/>
        <v>0</v>
      </c>
      <c r="U116" s="144"/>
      <c r="V116" s="144"/>
      <c r="W116" s="144"/>
      <c r="X116" s="28"/>
      <c r="Y116" s="28"/>
      <c r="Z116" s="307"/>
    </row>
    <row r="117" spans="1:26">
      <c r="A117" s="314"/>
      <c r="B117" s="44" t="s">
        <v>41</v>
      </c>
      <c r="C117" s="318"/>
      <c r="D117" s="308"/>
      <c r="E117" s="308"/>
      <c r="F117" s="372"/>
      <c r="G117" s="151">
        <v>0</v>
      </c>
      <c r="H117" s="20"/>
      <c r="I117" s="20"/>
      <c r="J117" s="20"/>
      <c r="K117" s="20"/>
      <c r="L117" s="151">
        <v>0</v>
      </c>
      <c r="M117" s="150"/>
      <c r="N117" s="150"/>
      <c r="O117" s="150"/>
      <c r="P117" s="253">
        <v>0</v>
      </c>
      <c r="Q117" s="254"/>
      <c r="R117" s="254"/>
      <c r="S117" s="254"/>
      <c r="T117" s="26">
        <f t="shared" si="26"/>
        <v>0</v>
      </c>
      <c r="U117" s="150"/>
      <c r="V117" s="150"/>
      <c r="W117" s="150"/>
      <c r="X117" s="20"/>
      <c r="Y117" s="20"/>
      <c r="Z117" s="308"/>
    </row>
    <row r="118" spans="1:26">
      <c r="A118" s="314"/>
      <c r="B118" s="41" t="s">
        <v>32</v>
      </c>
      <c r="C118" s="318"/>
      <c r="D118" s="308"/>
      <c r="E118" s="308"/>
      <c r="F118" s="372"/>
      <c r="G118" s="151">
        <v>0</v>
      </c>
      <c r="H118" s="20"/>
      <c r="I118" s="20"/>
      <c r="J118" s="20"/>
      <c r="K118" s="20"/>
      <c r="L118" s="151">
        <v>0</v>
      </c>
      <c r="M118" s="150"/>
      <c r="N118" s="150"/>
      <c r="O118" s="150"/>
      <c r="P118" s="253">
        <v>0</v>
      </c>
      <c r="Q118" s="254"/>
      <c r="R118" s="254"/>
      <c r="S118" s="254"/>
      <c r="T118" s="26">
        <f t="shared" si="26"/>
        <v>0</v>
      </c>
      <c r="U118" s="150"/>
      <c r="V118" s="150"/>
      <c r="W118" s="150"/>
      <c r="X118" s="20"/>
      <c r="Y118" s="20"/>
      <c r="Z118" s="308"/>
    </row>
    <row r="119" spans="1:26">
      <c r="A119" s="314"/>
      <c r="B119" s="41" t="s">
        <v>33</v>
      </c>
      <c r="C119" s="318"/>
      <c r="D119" s="308"/>
      <c r="E119" s="308"/>
      <c r="F119" s="372"/>
      <c r="G119" s="151">
        <v>0</v>
      </c>
      <c r="H119" s="20"/>
      <c r="I119" s="20"/>
      <c r="J119" s="20"/>
      <c r="K119" s="20"/>
      <c r="L119" s="151">
        <v>0</v>
      </c>
      <c r="M119" s="150"/>
      <c r="N119" s="150"/>
      <c r="O119" s="150"/>
      <c r="P119" s="253">
        <v>0</v>
      </c>
      <c r="Q119" s="254"/>
      <c r="R119" s="254"/>
      <c r="S119" s="254"/>
      <c r="T119" s="26">
        <f t="shared" si="26"/>
        <v>0</v>
      </c>
      <c r="U119" s="150"/>
      <c r="V119" s="150"/>
      <c r="W119" s="150"/>
      <c r="X119" s="20"/>
      <c r="Y119" s="20"/>
      <c r="Z119" s="308"/>
    </row>
    <row r="120" spans="1:26">
      <c r="A120" s="314"/>
      <c r="B120" s="23" t="s">
        <v>37</v>
      </c>
      <c r="C120" s="318"/>
      <c r="D120" s="308"/>
      <c r="E120" s="308"/>
      <c r="F120" s="372"/>
      <c r="G120" s="150">
        <v>0</v>
      </c>
      <c r="H120" s="20"/>
      <c r="I120" s="20"/>
      <c r="J120" s="20"/>
      <c r="K120" s="20"/>
      <c r="L120" s="150">
        <v>0</v>
      </c>
      <c r="M120" s="150"/>
      <c r="N120" s="150"/>
      <c r="O120" s="150"/>
      <c r="P120" s="254">
        <v>0</v>
      </c>
      <c r="Q120" s="254"/>
      <c r="R120" s="254"/>
      <c r="S120" s="254"/>
      <c r="T120" s="26">
        <f t="shared" si="26"/>
        <v>0</v>
      </c>
      <c r="U120" s="150"/>
      <c r="V120" s="150"/>
      <c r="W120" s="150"/>
      <c r="X120" s="20"/>
      <c r="Y120" s="20"/>
      <c r="Z120" s="308"/>
    </row>
    <row r="121" spans="1:26">
      <c r="A121" s="315"/>
      <c r="B121" s="23" t="s">
        <v>38</v>
      </c>
      <c r="C121" s="319"/>
      <c r="D121" s="309"/>
      <c r="E121" s="309"/>
      <c r="F121" s="297"/>
      <c r="G121" s="150">
        <v>0</v>
      </c>
      <c r="H121" s="20"/>
      <c r="I121" s="20"/>
      <c r="J121" s="20"/>
      <c r="K121" s="20"/>
      <c r="L121" s="150">
        <v>0</v>
      </c>
      <c r="M121" s="150"/>
      <c r="N121" s="150"/>
      <c r="O121" s="150"/>
      <c r="P121" s="254">
        <v>0</v>
      </c>
      <c r="Q121" s="254"/>
      <c r="R121" s="254"/>
      <c r="S121" s="254"/>
      <c r="T121" s="26">
        <f t="shared" si="26"/>
        <v>0</v>
      </c>
      <c r="U121" s="150"/>
      <c r="V121" s="150"/>
      <c r="W121" s="150"/>
      <c r="X121" s="20"/>
      <c r="Y121" s="20"/>
      <c r="Z121" s="309"/>
    </row>
    <row r="122" spans="1:26" hidden="1">
      <c r="A122" s="313" t="s">
        <v>86</v>
      </c>
      <c r="B122" s="16"/>
      <c r="C122" s="321" t="s">
        <v>43</v>
      </c>
      <c r="D122" s="304" t="s">
        <v>9</v>
      </c>
      <c r="E122" s="328"/>
      <c r="F122" s="325"/>
      <c r="G122" s="25">
        <f>G123+G125+G127+G131+G132</f>
        <v>0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>
        <f t="shared" si="26"/>
        <v>0</v>
      </c>
      <c r="U122" s="26"/>
      <c r="V122" s="26"/>
      <c r="W122" s="26"/>
      <c r="X122" s="26"/>
      <c r="Y122" s="26"/>
      <c r="Z122" s="360"/>
    </row>
    <row r="123" spans="1:26" hidden="1">
      <c r="A123" s="314"/>
      <c r="B123" s="22" t="s">
        <v>127</v>
      </c>
      <c r="C123" s="322"/>
      <c r="D123" s="307"/>
      <c r="E123" s="308"/>
      <c r="F123" s="326"/>
      <c r="G123" s="323">
        <f>SUM(H123:Y123)</f>
        <v>0</v>
      </c>
      <c r="H123" s="323"/>
      <c r="I123" s="27"/>
      <c r="J123" s="27"/>
      <c r="K123" s="27"/>
      <c r="L123" s="143"/>
      <c r="M123" s="143"/>
      <c r="N123" s="143"/>
      <c r="O123" s="143"/>
      <c r="P123" s="245"/>
      <c r="Q123" s="245"/>
      <c r="R123" s="245"/>
      <c r="S123" s="245"/>
      <c r="T123" s="26">
        <f t="shared" si="26"/>
        <v>0</v>
      </c>
      <c r="U123" s="143"/>
      <c r="V123" s="143"/>
      <c r="W123" s="143"/>
      <c r="X123" s="323"/>
      <c r="Y123" s="323"/>
      <c r="Z123" s="307"/>
    </row>
    <row r="124" spans="1:26" hidden="1">
      <c r="A124" s="314"/>
      <c r="B124" s="68" t="s">
        <v>107</v>
      </c>
      <c r="C124" s="322"/>
      <c r="D124" s="307"/>
      <c r="E124" s="308"/>
      <c r="F124" s="326"/>
      <c r="G124" s="297"/>
      <c r="H124" s="324"/>
      <c r="I124" s="28"/>
      <c r="J124" s="28"/>
      <c r="K124" s="28"/>
      <c r="L124" s="144"/>
      <c r="M124" s="144"/>
      <c r="N124" s="144"/>
      <c r="O124" s="144"/>
      <c r="P124" s="247"/>
      <c r="Q124" s="247"/>
      <c r="R124" s="247"/>
      <c r="S124" s="247"/>
      <c r="T124" s="26">
        <f t="shared" si="26"/>
        <v>0</v>
      </c>
      <c r="U124" s="144"/>
      <c r="V124" s="144"/>
      <c r="W124" s="144"/>
      <c r="X124" s="324"/>
      <c r="Y124" s="324"/>
      <c r="Z124" s="307"/>
    </row>
    <row r="125" spans="1:26" hidden="1">
      <c r="A125" s="314"/>
      <c r="B125" s="23" t="s">
        <v>29</v>
      </c>
      <c r="C125" s="322"/>
      <c r="D125" s="307"/>
      <c r="E125" s="308"/>
      <c r="F125" s="326"/>
      <c r="G125" s="20">
        <f>SUM(G126)</f>
        <v>0</v>
      </c>
      <c r="H125" s="28"/>
      <c r="I125" s="28"/>
      <c r="J125" s="28"/>
      <c r="K125" s="28"/>
      <c r="L125" s="144"/>
      <c r="M125" s="144"/>
      <c r="N125" s="144"/>
      <c r="O125" s="144"/>
      <c r="P125" s="247"/>
      <c r="Q125" s="247"/>
      <c r="R125" s="247"/>
      <c r="S125" s="247"/>
      <c r="T125" s="26">
        <f t="shared" si="26"/>
        <v>0</v>
      </c>
      <c r="U125" s="144"/>
      <c r="V125" s="144"/>
      <c r="W125" s="144"/>
      <c r="X125" s="28"/>
      <c r="Y125" s="28"/>
      <c r="Z125" s="307"/>
    </row>
    <row r="126" spans="1:26" hidden="1">
      <c r="A126" s="314"/>
      <c r="B126" s="44" t="s">
        <v>39</v>
      </c>
      <c r="C126" s="322"/>
      <c r="D126" s="307"/>
      <c r="E126" s="308"/>
      <c r="F126" s="326"/>
      <c r="G126" s="48">
        <f>SUM(H126:Y126)</f>
        <v>0</v>
      </c>
      <c r="H126" s="28"/>
      <c r="I126" s="28"/>
      <c r="J126" s="28"/>
      <c r="K126" s="28"/>
      <c r="L126" s="144"/>
      <c r="M126" s="144"/>
      <c r="N126" s="144"/>
      <c r="O126" s="144"/>
      <c r="P126" s="247"/>
      <c r="Q126" s="247"/>
      <c r="R126" s="247"/>
      <c r="S126" s="247"/>
      <c r="T126" s="26">
        <f t="shared" si="26"/>
        <v>0</v>
      </c>
      <c r="U126" s="144"/>
      <c r="V126" s="144"/>
      <c r="W126" s="144"/>
      <c r="X126" s="28"/>
      <c r="Y126" s="28"/>
      <c r="Z126" s="307"/>
    </row>
    <row r="127" spans="1:26" hidden="1">
      <c r="A127" s="314"/>
      <c r="B127" s="23" t="s">
        <v>30</v>
      </c>
      <c r="C127" s="322"/>
      <c r="D127" s="307"/>
      <c r="E127" s="308"/>
      <c r="F127" s="326"/>
      <c r="G127" s="20">
        <f>SUM(G128:G130)</f>
        <v>0</v>
      </c>
      <c r="H127" s="28"/>
      <c r="I127" s="28"/>
      <c r="J127" s="28"/>
      <c r="K127" s="28"/>
      <c r="L127" s="144"/>
      <c r="M127" s="144"/>
      <c r="N127" s="144"/>
      <c r="O127" s="144"/>
      <c r="P127" s="247"/>
      <c r="Q127" s="247"/>
      <c r="R127" s="247"/>
      <c r="S127" s="247"/>
      <c r="T127" s="26">
        <f t="shared" si="26"/>
        <v>0</v>
      </c>
      <c r="U127" s="144"/>
      <c r="V127" s="144"/>
      <c r="W127" s="144"/>
      <c r="X127" s="28"/>
      <c r="Y127" s="28"/>
      <c r="Z127" s="307"/>
    </row>
    <row r="128" spans="1:26" hidden="1">
      <c r="A128" s="314"/>
      <c r="B128" s="44" t="s">
        <v>41</v>
      </c>
      <c r="C128" s="318"/>
      <c r="D128" s="308"/>
      <c r="E128" s="308"/>
      <c r="F128" s="372"/>
      <c r="G128" s="48">
        <f>SUM(H128:Y128)</f>
        <v>0</v>
      </c>
      <c r="H128" s="20"/>
      <c r="I128" s="20"/>
      <c r="J128" s="20"/>
      <c r="K128" s="20"/>
      <c r="L128" s="150"/>
      <c r="M128" s="150"/>
      <c r="N128" s="150"/>
      <c r="O128" s="150"/>
      <c r="P128" s="254"/>
      <c r="Q128" s="254"/>
      <c r="R128" s="254"/>
      <c r="S128" s="254"/>
      <c r="T128" s="26">
        <f t="shared" si="26"/>
        <v>0</v>
      </c>
      <c r="U128" s="150"/>
      <c r="V128" s="150"/>
      <c r="W128" s="150"/>
      <c r="X128" s="20"/>
      <c r="Y128" s="20"/>
      <c r="Z128" s="308"/>
    </row>
    <row r="129" spans="1:26" hidden="1">
      <c r="A129" s="314"/>
      <c r="B129" s="41" t="s">
        <v>32</v>
      </c>
      <c r="C129" s="318"/>
      <c r="D129" s="308"/>
      <c r="E129" s="308"/>
      <c r="F129" s="372"/>
      <c r="G129" s="48">
        <f>SUM(H129:Y129)</f>
        <v>0</v>
      </c>
      <c r="H129" s="20"/>
      <c r="I129" s="20"/>
      <c r="J129" s="20"/>
      <c r="K129" s="20"/>
      <c r="L129" s="150"/>
      <c r="M129" s="150"/>
      <c r="N129" s="150"/>
      <c r="O129" s="150"/>
      <c r="P129" s="254"/>
      <c r="Q129" s="254"/>
      <c r="R129" s="254"/>
      <c r="S129" s="254"/>
      <c r="T129" s="26">
        <f t="shared" si="26"/>
        <v>0</v>
      </c>
      <c r="U129" s="150"/>
      <c r="V129" s="150"/>
      <c r="W129" s="150"/>
      <c r="X129" s="20"/>
      <c r="Y129" s="20"/>
      <c r="Z129" s="308"/>
    </row>
    <row r="130" spans="1:26" hidden="1">
      <c r="A130" s="314"/>
      <c r="B130" s="41" t="s">
        <v>33</v>
      </c>
      <c r="C130" s="318"/>
      <c r="D130" s="308"/>
      <c r="E130" s="308"/>
      <c r="F130" s="372"/>
      <c r="G130" s="48">
        <f>SUM(H130:Y130)</f>
        <v>0</v>
      </c>
      <c r="H130" s="20"/>
      <c r="I130" s="20"/>
      <c r="J130" s="20"/>
      <c r="K130" s="20"/>
      <c r="L130" s="150"/>
      <c r="M130" s="150"/>
      <c r="N130" s="150"/>
      <c r="O130" s="150"/>
      <c r="P130" s="254"/>
      <c r="Q130" s="254"/>
      <c r="R130" s="254"/>
      <c r="S130" s="254"/>
      <c r="T130" s="26">
        <f t="shared" si="26"/>
        <v>0</v>
      </c>
      <c r="U130" s="150"/>
      <c r="V130" s="150"/>
      <c r="W130" s="150"/>
      <c r="X130" s="20"/>
      <c r="Y130" s="20"/>
      <c r="Z130" s="308"/>
    </row>
    <row r="131" spans="1:26" hidden="1">
      <c r="A131" s="314"/>
      <c r="B131" s="23" t="s">
        <v>37</v>
      </c>
      <c r="C131" s="318"/>
      <c r="D131" s="308"/>
      <c r="E131" s="308"/>
      <c r="F131" s="372"/>
      <c r="G131" s="20">
        <f>SUM(H131:Y131)</f>
        <v>0</v>
      </c>
      <c r="H131" s="20"/>
      <c r="I131" s="20"/>
      <c r="J131" s="20"/>
      <c r="K131" s="20"/>
      <c r="L131" s="150"/>
      <c r="M131" s="150"/>
      <c r="N131" s="150"/>
      <c r="O131" s="150"/>
      <c r="P131" s="254"/>
      <c r="Q131" s="254"/>
      <c r="R131" s="254"/>
      <c r="S131" s="254"/>
      <c r="T131" s="26">
        <f t="shared" si="26"/>
        <v>0</v>
      </c>
      <c r="U131" s="150"/>
      <c r="V131" s="150"/>
      <c r="W131" s="150"/>
      <c r="X131" s="20"/>
      <c r="Y131" s="20"/>
      <c r="Z131" s="308"/>
    </row>
    <row r="132" spans="1:26" hidden="1">
      <c r="A132" s="315"/>
      <c r="B132" s="23" t="s">
        <v>38</v>
      </c>
      <c r="C132" s="319"/>
      <c r="D132" s="309"/>
      <c r="E132" s="309"/>
      <c r="F132" s="297"/>
      <c r="G132" s="20">
        <f>SUM(H132:Y132)</f>
        <v>0</v>
      </c>
      <c r="H132" s="20"/>
      <c r="I132" s="20"/>
      <c r="J132" s="20"/>
      <c r="K132" s="20"/>
      <c r="L132" s="150"/>
      <c r="M132" s="150"/>
      <c r="N132" s="150"/>
      <c r="O132" s="150"/>
      <c r="P132" s="254"/>
      <c r="Q132" s="254"/>
      <c r="R132" s="254"/>
      <c r="S132" s="254"/>
      <c r="T132" s="26">
        <f t="shared" si="26"/>
        <v>0</v>
      </c>
      <c r="U132" s="150"/>
      <c r="V132" s="150"/>
      <c r="W132" s="150"/>
      <c r="X132" s="20"/>
      <c r="Y132" s="20"/>
      <c r="Z132" s="309"/>
    </row>
    <row r="133" spans="1:26" ht="38.25">
      <c r="A133" s="313" t="s">
        <v>86</v>
      </c>
      <c r="B133" s="16" t="s">
        <v>26</v>
      </c>
      <c r="C133" s="321" t="s">
        <v>43</v>
      </c>
      <c r="D133" s="304" t="s">
        <v>6</v>
      </c>
      <c r="E133" s="328">
        <v>60</v>
      </c>
      <c r="F133" s="325" t="s">
        <v>17</v>
      </c>
      <c r="G133" s="25">
        <f>G134+G136+G138+G142+G143</f>
        <v>4829.5</v>
      </c>
      <c r="H133" s="26"/>
      <c r="I133" s="26"/>
      <c r="J133" s="26"/>
      <c r="K133" s="26"/>
      <c r="L133" s="25">
        <f>L134+L136+L138+L142+L143</f>
        <v>4829.5</v>
      </c>
      <c r="M133" s="26"/>
      <c r="N133" s="26"/>
      <c r="O133" s="26"/>
      <c r="P133" s="25">
        <f>P134+P136+P138+P142+P143</f>
        <v>0</v>
      </c>
      <c r="Q133" s="26"/>
      <c r="R133" s="26"/>
      <c r="S133" s="26"/>
      <c r="T133" s="26">
        <f t="shared" si="26"/>
        <v>4829.5</v>
      </c>
      <c r="U133" s="26"/>
      <c r="V133" s="26"/>
      <c r="W133" s="26"/>
      <c r="X133" s="26"/>
      <c r="Y133" s="26"/>
      <c r="Z133" s="63"/>
    </row>
    <row r="134" spans="1:26">
      <c r="A134" s="314"/>
      <c r="B134" s="22" t="s">
        <v>127</v>
      </c>
      <c r="C134" s="322"/>
      <c r="D134" s="307"/>
      <c r="E134" s="308"/>
      <c r="F134" s="326"/>
      <c r="G134" s="323">
        <v>4829.5</v>
      </c>
      <c r="H134" s="323"/>
      <c r="I134" s="27"/>
      <c r="J134" s="27"/>
      <c r="K134" s="27"/>
      <c r="L134" s="323">
        <v>4829.5</v>
      </c>
      <c r="M134" s="143"/>
      <c r="N134" s="143"/>
      <c r="O134" s="143"/>
      <c r="P134" s="323">
        <v>0</v>
      </c>
      <c r="Q134" s="245"/>
      <c r="R134" s="245"/>
      <c r="S134" s="245"/>
      <c r="T134" s="323">
        <f t="shared" si="26"/>
        <v>4829.5</v>
      </c>
      <c r="U134" s="143"/>
      <c r="V134" s="143"/>
      <c r="W134" s="143"/>
      <c r="X134" s="323">
        <v>4829.5</v>
      </c>
      <c r="Y134" s="323"/>
      <c r="Z134" s="63"/>
    </row>
    <row r="135" spans="1:26">
      <c r="A135" s="314"/>
      <c r="B135" s="68" t="s">
        <v>107</v>
      </c>
      <c r="C135" s="322"/>
      <c r="D135" s="307"/>
      <c r="E135" s="308"/>
      <c r="F135" s="326"/>
      <c r="G135" s="297"/>
      <c r="H135" s="324"/>
      <c r="I135" s="28"/>
      <c r="J135" s="28"/>
      <c r="K135" s="28"/>
      <c r="L135" s="297"/>
      <c r="M135" s="144"/>
      <c r="N135" s="144"/>
      <c r="O135" s="144"/>
      <c r="P135" s="297"/>
      <c r="Q135" s="247"/>
      <c r="R135" s="247"/>
      <c r="S135" s="247"/>
      <c r="T135" s="297">
        <f t="shared" si="26"/>
        <v>0</v>
      </c>
      <c r="U135" s="144"/>
      <c r="V135" s="144"/>
      <c r="W135" s="144"/>
      <c r="X135" s="324"/>
      <c r="Y135" s="324"/>
      <c r="Z135" s="63"/>
    </row>
    <row r="136" spans="1:26">
      <c r="A136" s="308"/>
      <c r="B136" s="23" t="s">
        <v>29</v>
      </c>
      <c r="C136" s="322"/>
      <c r="D136" s="307"/>
      <c r="E136" s="308"/>
      <c r="F136" s="326"/>
      <c r="G136" s="150">
        <v>0</v>
      </c>
      <c r="H136" s="28"/>
      <c r="I136" s="28"/>
      <c r="J136" s="28"/>
      <c r="K136" s="28"/>
      <c r="L136" s="150">
        <v>0</v>
      </c>
      <c r="M136" s="144"/>
      <c r="N136" s="144"/>
      <c r="O136" s="144"/>
      <c r="P136" s="254">
        <v>0</v>
      </c>
      <c r="Q136" s="247"/>
      <c r="R136" s="247"/>
      <c r="S136" s="247"/>
      <c r="T136" s="26">
        <f t="shared" si="26"/>
        <v>0</v>
      </c>
      <c r="U136" s="144"/>
      <c r="V136" s="144"/>
      <c r="W136" s="144"/>
      <c r="X136" s="28"/>
      <c r="Y136" s="28"/>
      <c r="Z136" s="63"/>
    </row>
    <row r="137" spans="1:26">
      <c r="A137" s="314"/>
      <c r="B137" s="44" t="s">
        <v>39</v>
      </c>
      <c r="C137" s="322"/>
      <c r="D137" s="307"/>
      <c r="E137" s="308"/>
      <c r="F137" s="326"/>
      <c r="G137" s="151">
        <v>0</v>
      </c>
      <c r="H137" s="28"/>
      <c r="I137" s="28"/>
      <c r="J137" s="28"/>
      <c r="K137" s="28"/>
      <c r="L137" s="151">
        <v>0</v>
      </c>
      <c r="M137" s="144"/>
      <c r="N137" s="144"/>
      <c r="O137" s="144"/>
      <c r="P137" s="253">
        <v>0</v>
      </c>
      <c r="Q137" s="247"/>
      <c r="R137" s="247"/>
      <c r="S137" s="247"/>
      <c r="T137" s="26">
        <f t="shared" si="26"/>
        <v>0</v>
      </c>
      <c r="U137" s="144"/>
      <c r="V137" s="144"/>
      <c r="W137" s="144"/>
      <c r="X137" s="28"/>
      <c r="Y137" s="28"/>
      <c r="Z137" s="63"/>
    </row>
    <row r="138" spans="1:26">
      <c r="A138" s="314"/>
      <c r="B138" s="23" t="s">
        <v>30</v>
      </c>
      <c r="C138" s="322"/>
      <c r="D138" s="307"/>
      <c r="E138" s="308"/>
      <c r="F138" s="326"/>
      <c r="G138" s="150">
        <v>0</v>
      </c>
      <c r="H138" s="28"/>
      <c r="I138" s="28"/>
      <c r="J138" s="28"/>
      <c r="K138" s="28"/>
      <c r="L138" s="150">
        <v>0</v>
      </c>
      <c r="M138" s="144"/>
      <c r="N138" s="144"/>
      <c r="O138" s="144"/>
      <c r="P138" s="254">
        <v>0</v>
      </c>
      <c r="Q138" s="247"/>
      <c r="R138" s="247"/>
      <c r="S138" s="247"/>
      <c r="T138" s="26">
        <f t="shared" si="26"/>
        <v>0</v>
      </c>
      <c r="U138" s="144"/>
      <c r="V138" s="144"/>
      <c r="W138" s="144"/>
      <c r="X138" s="28"/>
      <c r="Y138" s="28"/>
      <c r="Z138" s="63"/>
    </row>
    <row r="139" spans="1:26">
      <c r="A139" s="314"/>
      <c r="B139" s="44" t="s">
        <v>41</v>
      </c>
      <c r="C139" s="318"/>
      <c r="D139" s="308"/>
      <c r="E139" s="308"/>
      <c r="F139" s="372"/>
      <c r="G139" s="151">
        <v>0</v>
      </c>
      <c r="H139" s="20"/>
      <c r="I139" s="20"/>
      <c r="J139" s="20"/>
      <c r="K139" s="20"/>
      <c r="L139" s="151">
        <v>0</v>
      </c>
      <c r="M139" s="150"/>
      <c r="N139" s="150"/>
      <c r="O139" s="150"/>
      <c r="P139" s="253">
        <v>0</v>
      </c>
      <c r="Q139" s="254"/>
      <c r="R139" s="254"/>
      <c r="S139" s="254"/>
      <c r="T139" s="26">
        <f t="shared" si="26"/>
        <v>0</v>
      </c>
      <c r="U139" s="150"/>
      <c r="V139" s="150"/>
      <c r="W139" s="150"/>
      <c r="X139" s="20"/>
      <c r="Y139" s="20"/>
      <c r="Z139" s="63"/>
    </row>
    <row r="140" spans="1:26">
      <c r="A140" s="314"/>
      <c r="B140" s="41" t="s">
        <v>32</v>
      </c>
      <c r="C140" s="318"/>
      <c r="D140" s="308"/>
      <c r="E140" s="308"/>
      <c r="F140" s="372"/>
      <c r="G140" s="151">
        <v>0</v>
      </c>
      <c r="H140" s="20"/>
      <c r="I140" s="20"/>
      <c r="J140" s="20"/>
      <c r="K140" s="20"/>
      <c r="L140" s="151">
        <v>0</v>
      </c>
      <c r="M140" s="150"/>
      <c r="N140" s="150"/>
      <c r="O140" s="150"/>
      <c r="P140" s="253">
        <v>0</v>
      </c>
      <c r="Q140" s="254"/>
      <c r="R140" s="254"/>
      <c r="S140" s="254"/>
      <c r="T140" s="26">
        <f t="shared" si="26"/>
        <v>0</v>
      </c>
      <c r="U140" s="150"/>
      <c r="V140" s="150"/>
      <c r="W140" s="150"/>
      <c r="X140" s="20"/>
      <c r="Y140" s="20"/>
      <c r="Z140" s="63"/>
    </row>
    <row r="141" spans="1:26">
      <c r="A141" s="314"/>
      <c r="B141" s="41" t="s">
        <v>33</v>
      </c>
      <c r="C141" s="318"/>
      <c r="D141" s="308"/>
      <c r="E141" s="308"/>
      <c r="F141" s="372"/>
      <c r="G141" s="151">
        <v>0</v>
      </c>
      <c r="H141" s="20"/>
      <c r="I141" s="20"/>
      <c r="J141" s="20"/>
      <c r="K141" s="20"/>
      <c r="L141" s="151">
        <v>0</v>
      </c>
      <c r="M141" s="150"/>
      <c r="N141" s="150"/>
      <c r="O141" s="150"/>
      <c r="P141" s="253">
        <v>0</v>
      </c>
      <c r="Q141" s="254"/>
      <c r="R141" s="254"/>
      <c r="S141" s="254"/>
      <c r="T141" s="26">
        <f t="shared" si="26"/>
        <v>0</v>
      </c>
      <c r="U141" s="150"/>
      <c r="V141" s="150"/>
      <c r="W141" s="150"/>
      <c r="X141" s="20"/>
      <c r="Y141" s="20"/>
      <c r="Z141" s="63"/>
    </row>
    <row r="142" spans="1:26">
      <c r="A142" s="314"/>
      <c r="B142" s="23" t="s">
        <v>37</v>
      </c>
      <c r="C142" s="318"/>
      <c r="D142" s="308"/>
      <c r="E142" s="308"/>
      <c r="F142" s="372"/>
      <c r="G142" s="150">
        <v>0</v>
      </c>
      <c r="H142" s="20"/>
      <c r="I142" s="20"/>
      <c r="J142" s="20"/>
      <c r="K142" s="20"/>
      <c r="L142" s="150">
        <v>0</v>
      </c>
      <c r="M142" s="150"/>
      <c r="N142" s="150"/>
      <c r="O142" s="150"/>
      <c r="P142" s="254">
        <v>0</v>
      </c>
      <c r="Q142" s="254"/>
      <c r="R142" s="254"/>
      <c r="S142" s="254"/>
      <c r="T142" s="26">
        <f t="shared" si="26"/>
        <v>0</v>
      </c>
      <c r="U142" s="150"/>
      <c r="V142" s="150"/>
      <c r="W142" s="150"/>
      <c r="X142" s="20"/>
      <c r="Y142" s="20"/>
      <c r="Z142" s="63"/>
    </row>
    <row r="143" spans="1:26">
      <c r="A143" s="315"/>
      <c r="B143" s="23" t="s">
        <v>38</v>
      </c>
      <c r="C143" s="319"/>
      <c r="D143" s="309"/>
      <c r="E143" s="309"/>
      <c r="F143" s="297"/>
      <c r="G143" s="150">
        <v>0</v>
      </c>
      <c r="H143" s="20"/>
      <c r="I143" s="20"/>
      <c r="J143" s="20"/>
      <c r="K143" s="20"/>
      <c r="L143" s="150">
        <v>0</v>
      </c>
      <c r="M143" s="150"/>
      <c r="N143" s="150"/>
      <c r="O143" s="150"/>
      <c r="P143" s="254">
        <v>0</v>
      </c>
      <c r="Q143" s="254"/>
      <c r="R143" s="254"/>
      <c r="S143" s="254"/>
      <c r="T143" s="26">
        <f t="shared" si="26"/>
        <v>0</v>
      </c>
      <c r="U143" s="150"/>
      <c r="V143" s="150"/>
      <c r="W143" s="150"/>
      <c r="X143" s="20"/>
      <c r="Y143" s="20"/>
      <c r="Z143" s="63"/>
    </row>
    <row r="144" spans="1:26" ht="15" customHeight="1">
      <c r="A144" s="298"/>
      <c r="B144" s="17" t="s">
        <v>15</v>
      </c>
      <c r="C144" s="377"/>
      <c r="D144" s="310">
        <f>G100+G89+G78</f>
        <v>175389.6</v>
      </c>
      <c r="E144" s="358">
        <f>G101+G90+G79+G112+G123+G134</f>
        <v>355032.7</v>
      </c>
      <c r="F144" s="301"/>
      <c r="G144" s="25">
        <f>G145+G147+G149+G153+G156</f>
        <v>326104.09999999998</v>
      </c>
      <c r="H144" s="25">
        <f>H145+H147+H149+H153+H156</f>
        <v>0</v>
      </c>
      <c r="I144" s="25">
        <f t="shared" ref="I144:K144" si="27">I145+I147+I149+I153+I156</f>
        <v>0</v>
      </c>
      <c r="J144" s="25">
        <f t="shared" si="27"/>
        <v>0</v>
      </c>
      <c r="K144" s="25">
        <f t="shared" si="27"/>
        <v>0</v>
      </c>
      <c r="L144" s="25">
        <f>L145+L147+L149+L153+L156</f>
        <v>43171.5</v>
      </c>
      <c r="M144" s="25">
        <f t="shared" ref="M144" si="28">M145+M147+M149+M153+M156</f>
        <v>0</v>
      </c>
      <c r="N144" s="25">
        <f t="shared" ref="N144:O144" si="29">N145+N147+N149+N153+N156</f>
        <v>0</v>
      </c>
      <c r="O144" s="25">
        <f t="shared" si="29"/>
        <v>0</v>
      </c>
      <c r="P144" s="25">
        <f>P145+P147+P149+P153+P156</f>
        <v>282932.59999999998</v>
      </c>
      <c r="Q144" s="25">
        <f t="shared" ref="Q144:S144" si="30">Q145+Q147+Q149+Q153+Q156</f>
        <v>0</v>
      </c>
      <c r="R144" s="25">
        <f t="shared" si="30"/>
        <v>0</v>
      </c>
      <c r="S144" s="25">
        <f t="shared" si="30"/>
        <v>0</v>
      </c>
      <c r="T144" s="25">
        <f>T145+T147+T149+T153+T156</f>
        <v>326104.09999999998</v>
      </c>
      <c r="U144" s="25">
        <f t="shared" ref="U144:W144" si="31">U145+U147+U149+U153+U156</f>
        <v>0</v>
      </c>
      <c r="V144" s="25">
        <f t="shared" si="31"/>
        <v>0</v>
      </c>
      <c r="W144" s="25">
        <f t="shared" si="31"/>
        <v>0</v>
      </c>
      <c r="X144" s="25">
        <f>X145+X147+X149+X153+X156</f>
        <v>43171.5</v>
      </c>
      <c r="Y144" s="25">
        <f>Y145+Y147+Y149+Y153+Y156</f>
        <v>282932.59999999998</v>
      </c>
      <c r="Z144" s="367">
        <f>SUM(H149:Y149)</f>
        <v>0</v>
      </c>
    </row>
    <row r="145" spans="1:27" ht="12.75" customHeight="1">
      <c r="A145" s="299"/>
      <c r="B145" s="22" t="s">
        <v>127</v>
      </c>
      <c r="C145" s="378"/>
      <c r="D145" s="311"/>
      <c r="E145" s="359"/>
      <c r="F145" s="302"/>
      <c r="G145" s="323">
        <f>H145+X145+Y145</f>
        <v>326104.09999999998</v>
      </c>
      <c r="H145" s="370">
        <f>H79+H90+H101+H112+H134+H123</f>
        <v>0</v>
      </c>
      <c r="I145" s="370">
        <f t="shared" ref="I145:K145" si="32">I79+I90+I101+I112+I134+I123</f>
        <v>0</v>
      </c>
      <c r="J145" s="370">
        <f t="shared" si="32"/>
        <v>0</v>
      </c>
      <c r="K145" s="370">
        <f t="shared" si="32"/>
        <v>0</v>
      </c>
      <c r="L145" s="370">
        <f>L79+L90+L101+L112+L134+L123</f>
        <v>43171.5</v>
      </c>
      <c r="M145" s="370">
        <f t="shared" ref="M145" si="33">M79+M90+M101+M112+M134+M123</f>
        <v>0</v>
      </c>
      <c r="N145" s="370">
        <f t="shared" ref="N145:O145" si="34">N79+N90+N101+N112+N134+N123</f>
        <v>0</v>
      </c>
      <c r="O145" s="370">
        <f t="shared" si="34"/>
        <v>0</v>
      </c>
      <c r="P145" s="370">
        <f>P79+P90+P101+P112+P134+P123</f>
        <v>282932.59999999998</v>
      </c>
      <c r="Q145" s="370">
        <f t="shared" ref="Q145:S145" si="35">Q79+Q90+Q101+Q112+Q134+Q123</f>
        <v>0</v>
      </c>
      <c r="R145" s="370">
        <f t="shared" si="35"/>
        <v>0</v>
      </c>
      <c r="S145" s="370">
        <f t="shared" si="35"/>
        <v>0</v>
      </c>
      <c r="T145" s="370">
        <f>T79+T90+T101+T112+T134+T123</f>
        <v>326104.09999999998</v>
      </c>
      <c r="U145" s="370">
        <f t="shared" ref="U145:W145" si="36">U79+U90+U101+U112+U134+U123</f>
        <v>0</v>
      </c>
      <c r="V145" s="370">
        <f t="shared" si="36"/>
        <v>0</v>
      </c>
      <c r="W145" s="370">
        <f t="shared" si="36"/>
        <v>0</v>
      </c>
      <c r="X145" s="370">
        <f>X79+X90+X101+X112+X134+X123</f>
        <v>43171.5</v>
      </c>
      <c r="Y145" s="370">
        <f>Y79+Y90+Y101+Y112+Y134+Y123</f>
        <v>282932.59999999998</v>
      </c>
      <c r="Z145" s="368"/>
      <c r="AA145" s="2"/>
    </row>
    <row r="146" spans="1:27" ht="12.75" customHeight="1">
      <c r="A146" s="299"/>
      <c r="B146" s="68" t="s">
        <v>107</v>
      </c>
      <c r="C146" s="378"/>
      <c r="D146" s="311"/>
      <c r="E146" s="359"/>
      <c r="F146" s="302"/>
      <c r="G146" s="297"/>
      <c r="H146" s="370"/>
      <c r="I146" s="370"/>
      <c r="J146" s="370"/>
      <c r="K146" s="370"/>
      <c r="L146" s="370"/>
      <c r="M146" s="370"/>
      <c r="N146" s="370"/>
      <c r="O146" s="370"/>
      <c r="P146" s="370"/>
      <c r="Q146" s="370"/>
      <c r="R146" s="370"/>
      <c r="S146" s="370"/>
      <c r="T146" s="370"/>
      <c r="U146" s="370"/>
      <c r="V146" s="370"/>
      <c r="W146" s="370"/>
      <c r="X146" s="370"/>
      <c r="Y146" s="370"/>
      <c r="Z146" s="368"/>
      <c r="AA146" s="2"/>
    </row>
    <row r="147" spans="1:27">
      <c r="A147" s="299"/>
      <c r="B147" s="23" t="s">
        <v>29</v>
      </c>
      <c r="C147" s="378"/>
      <c r="D147" s="311"/>
      <c r="E147" s="359"/>
      <c r="F147" s="302"/>
      <c r="G147" s="20">
        <f>SUM(G148)</f>
        <v>0</v>
      </c>
      <c r="H147" s="20">
        <f>SUM(H148)</f>
        <v>0</v>
      </c>
      <c r="I147" s="20">
        <f t="shared" ref="I147:W147" si="37">SUM(I148)</f>
        <v>0</v>
      </c>
      <c r="J147" s="20">
        <f t="shared" si="37"/>
        <v>0</v>
      </c>
      <c r="K147" s="20">
        <f t="shared" si="37"/>
        <v>0</v>
      </c>
      <c r="L147" s="150">
        <f t="shared" si="37"/>
        <v>0</v>
      </c>
      <c r="M147" s="254">
        <f t="shared" si="37"/>
        <v>0</v>
      </c>
      <c r="N147" s="254">
        <f t="shared" si="37"/>
        <v>0</v>
      </c>
      <c r="O147" s="254">
        <f t="shared" si="37"/>
        <v>0</v>
      </c>
      <c r="P147" s="254">
        <f t="shared" si="37"/>
        <v>0</v>
      </c>
      <c r="Q147" s="254">
        <f t="shared" si="37"/>
        <v>0</v>
      </c>
      <c r="R147" s="254">
        <f t="shared" si="37"/>
        <v>0</v>
      </c>
      <c r="S147" s="254">
        <f t="shared" si="37"/>
        <v>0</v>
      </c>
      <c r="T147" s="254">
        <f t="shared" si="37"/>
        <v>0</v>
      </c>
      <c r="U147" s="254">
        <f t="shared" si="37"/>
        <v>0</v>
      </c>
      <c r="V147" s="254">
        <f t="shared" si="37"/>
        <v>0</v>
      </c>
      <c r="W147" s="254">
        <f t="shared" si="37"/>
        <v>0</v>
      </c>
      <c r="X147" s="20">
        <f>SUM(X148)</f>
        <v>0</v>
      </c>
      <c r="Y147" s="20">
        <f>SUM(Y148)</f>
        <v>0</v>
      </c>
      <c r="Z147" s="368"/>
      <c r="AA147" s="2"/>
    </row>
    <row r="148" spans="1:27">
      <c r="A148" s="299"/>
      <c r="B148" s="44" t="s">
        <v>39</v>
      </c>
      <c r="C148" s="378"/>
      <c r="D148" s="311"/>
      <c r="E148" s="359"/>
      <c r="F148" s="302"/>
      <c r="G148" s="48">
        <f>SUM(H148:Y148)</f>
        <v>0</v>
      </c>
      <c r="H148" s="48">
        <f>H137+H104+H93+H82</f>
        <v>0</v>
      </c>
      <c r="I148" s="48">
        <f t="shared" ref="I148:K148" si="38">I137+I104+I93+I82</f>
        <v>0</v>
      </c>
      <c r="J148" s="48">
        <f t="shared" si="38"/>
        <v>0</v>
      </c>
      <c r="K148" s="48">
        <f t="shared" si="38"/>
        <v>0</v>
      </c>
      <c r="L148" s="151">
        <f t="shared" ref="L148:M148" si="39">L137+L104+L93+L82</f>
        <v>0</v>
      </c>
      <c r="M148" s="253">
        <f t="shared" si="39"/>
        <v>0</v>
      </c>
      <c r="N148" s="253">
        <f t="shared" ref="N148:T148" si="40">N137+N104+N93+N82</f>
        <v>0</v>
      </c>
      <c r="O148" s="253">
        <f t="shared" si="40"/>
        <v>0</v>
      </c>
      <c r="P148" s="253">
        <f t="shared" si="40"/>
        <v>0</v>
      </c>
      <c r="Q148" s="253">
        <f t="shared" si="40"/>
        <v>0</v>
      </c>
      <c r="R148" s="253">
        <f t="shared" ref="R148:S148" si="41">R137+R104+R93+R82</f>
        <v>0</v>
      </c>
      <c r="S148" s="253">
        <f t="shared" si="41"/>
        <v>0</v>
      </c>
      <c r="T148" s="253">
        <f t="shared" si="40"/>
        <v>0</v>
      </c>
      <c r="U148" s="253">
        <f t="shared" ref="U148:W148" si="42">U137+U104+U93+U82</f>
        <v>0</v>
      </c>
      <c r="V148" s="253">
        <f t="shared" si="42"/>
        <v>0</v>
      </c>
      <c r="W148" s="253">
        <f t="shared" si="42"/>
        <v>0</v>
      </c>
      <c r="X148" s="48">
        <f>X137+X104+X93+X82</f>
        <v>0</v>
      </c>
      <c r="Y148" s="48">
        <f>Y137+Y104+Y93+Y82</f>
        <v>0</v>
      </c>
      <c r="Z148" s="368"/>
    </row>
    <row r="149" spans="1:27">
      <c r="A149" s="299"/>
      <c r="B149" s="23" t="s">
        <v>30</v>
      </c>
      <c r="C149" s="378"/>
      <c r="D149" s="311"/>
      <c r="E149" s="359"/>
      <c r="F149" s="302"/>
      <c r="G149" s="20">
        <f>SUM(G150:G152)</f>
        <v>0</v>
      </c>
      <c r="H149" s="20">
        <f>SUM(H150:H152)</f>
        <v>0</v>
      </c>
      <c r="I149" s="20">
        <f t="shared" ref="I149:K149" si="43">SUM(I150:I152)</f>
        <v>0</v>
      </c>
      <c r="J149" s="20">
        <f t="shared" si="43"/>
        <v>0</v>
      </c>
      <c r="K149" s="20">
        <f t="shared" si="43"/>
        <v>0</v>
      </c>
      <c r="L149" s="150">
        <f t="shared" ref="L149:M149" si="44">SUM(L150:L152)</f>
        <v>0</v>
      </c>
      <c r="M149" s="254">
        <f t="shared" si="44"/>
        <v>0</v>
      </c>
      <c r="N149" s="254">
        <f t="shared" ref="N149:T149" si="45">SUM(N150:N152)</f>
        <v>0</v>
      </c>
      <c r="O149" s="254">
        <f t="shared" si="45"/>
        <v>0</v>
      </c>
      <c r="P149" s="254">
        <f t="shared" si="45"/>
        <v>0</v>
      </c>
      <c r="Q149" s="254">
        <f t="shared" si="45"/>
        <v>0</v>
      </c>
      <c r="R149" s="254">
        <f t="shared" ref="R149:S149" si="46">SUM(R150:R152)</f>
        <v>0</v>
      </c>
      <c r="S149" s="254">
        <f t="shared" si="46"/>
        <v>0</v>
      </c>
      <c r="T149" s="254">
        <f t="shared" si="45"/>
        <v>0</v>
      </c>
      <c r="U149" s="254">
        <f t="shared" ref="U149:W149" si="47">SUM(U150:U152)</f>
        <v>0</v>
      </c>
      <c r="V149" s="254">
        <f t="shared" si="47"/>
        <v>0</v>
      </c>
      <c r="W149" s="254">
        <f t="shared" si="47"/>
        <v>0</v>
      </c>
      <c r="X149" s="20">
        <f>SUM(X150:X152)</f>
        <v>0</v>
      </c>
      <c r="Y149" s="20">
        <f>SUM(Y150:Y152)</f>
        <v>0</v>
      </c>
      <c r="Z149" s="368"/>
    </row>
    <row r="150" spans="1:27">
      <c r="A150" s="299"/>
      <c r="B150" s="44" t="s">
        <v>41</v>
      </c>
      <c r="C150" s="378"/>
      <c r="D150" s="311"/>
      <c r="E150" s="311"/>
      <c r="F150" s="302"/>
      <c r="G150" s="48">
        <f t="shared" ref="G150:G156" si="48">SUM(H150:Y150)</f>
        <v>0</v>
      </c>
      <c r="H150" s="48">
        <f t="shared" ref="H150:Y152" si="49">H106+H95+H84+H139</f>
        <v>0</v>
      </c>
      <c r="I150" s="48">
        <f t="shared" ref="I150:K150" si="50">I106+I95+I84+I139</f>
        <v>0</v>
      </c>
      <c r="J150" s="48">
        <f t="shared" si="50"/>
        <v>0</v>
      </c>
      <c r="K150" s="48">
        <f t="shared" si="50"/>
        <v>0</v>
      </c>
      <c r="L150" s="151">
        <f t="shared" ref="L150:M150" si="51">L106+L95+L84+L139</f>
        <v>0</v>
      </c>
      <c r="M150" s="253">
        <f t="shared" si="51"/>
        <v>0</v>
      </c>
      <c r="N150" s="253">
        <f t="shared" ref="N150:T150" si="52">N106+N95+N84+N139</f>
        <v>0</v>
      </c>
      <c r="O150" s="253">
        <f t="shared" si="52"/>
        <v>0</v>
      </c>
      <c r="P150" s="253">
        <f t="shared" si="52"/>
        <v>0</v>
      </c>
      <c r="Q150" s="253">
        <f t="shared" si="52"/>
        <v>0</v>
      </c>
      <c r="R150" s="253">
        <f t="shared" ref="R150:S150" si="53">R106+R95+R84+R139</f>
        <v>0</v>
      </c>
      <c r="S150" s="253">
        <f t="shared" si="53"/>
        <v>0</v>
      </c>
      <c r="T150" s="253">
        <f t="shared" si="52"/>
        <v>0</v>
      </c>
      <c r="U150" s="253">
        <f t="shared" ref="U150:W150" si="54">U106+U95+U84+U139</f>
        <v>0</v>
      </c>
      <c r="V150" s="253">
        <f t="shared" si="54"/>
        <v>0</v>
      </c>
      <c r="W150" s="253">
        <f t="shared" si="54"/>
        <v>0</v>
      </c>
      <c r="X150" s="48">
        <f t="shared" si="49"/>
        <v>0</v>
      </c>
      <c r="Y150" s="48">
        <f t="shared" si="49"/>
        <v>0</v>
      </c>
      <c r="Z150" s="368"/>
    </row>
    <row r="151" spans="1:27">
      <c r="A151" s="299"/>
      <c r="B151" s="41" t="s">
        <v>32</v>
      </c>
      <c r="C151" s="378"/>
      <c r="D151" s="311"/>
      <c r="E151" s="311"/>
      <c r="F151" s="302"/>
      <c r="G151" s="48">
        <f t="shared" si="48"/>
        <v>0</v>
      </c>
      <c r="H151" s="48">
        <f t="shared" si="49"/>
        <v>0</v>
      </c>
      <c r="I151" s="48">
        <f t="shared" ref="I151:K151" si="55">I107+I96+I85+I140</f>
        <v>0</v>
      </c>
      <c r="J151" s="48">
        <f t="shared" si="55"/>
        <v>0</v>
      </c>
      <c r="K151" s="48">
        <f t="shared" si="55"/>
        <v>0</v>
      </c>
      <c r="L151" s="151">
        <f t="shared" ref="L151:M151" si="56">L107+L96+L85+L140</f>
        <v>0</v>
      </c>
      <c r="M151" s="253">
        <f t="shared" si="56"/>
        <v>0</v>
      </c>
      <c r="N151" s="253">
        <f t="shared" ref="N151:T151" si="57">N107+N96+N85+N140</f>
        <v>0</v>
      </c>
      <c r="O151" s="253">
        <f t="shared" si="57"/>
        <v>0</v>
      </c>
      <c r="P151" s="253">
        <f t="shared" si="57"/>
        <v>0</v>
      </c>
      <c r="Q151" s="253">
        <f t="shared" si="57"/>
        <v>0</v>
      </c>
      <c r="R151" s="253">
        <f t="shared" ref="R151:S151" si="58">R107+R96+R85+R140</f>
        <v>0</v>
      </c>
      <c r="S151" s="253">
        <f t="shared" si="58"/>
        <v>0</v>
      </c>
      <c r="T151" s="253">
        <f t="shared" si="57"/>
        <v>0</v>
      </c>
      <c r="U151" s="253">
        <f t="shared" ref="U151:W151" si="59">U107+U96+U85+U140</f>
        <v>0</v>
      </c>
      <c r="V151" s="253">
        <f t="shared" si="59"/>
        <v>0</v>
      </c>
      <c r="W151" s="253">
        <f t="shared" si="59"/>
        <v>0</v>
      </c>
      <c r="X151" s="48">
        <f t="shared" si="49"/>
        <v>0</v>
      </c>
      <c r="Y151" s="48">
        <f t="shared" si="49"/>
        <v>0</v>
      </c>
      <c r="Z151" s="368"/>
    </row>
    <row r="152" spans="1:27">
      <c r="A152" s="299"/>
      <c r="B152" s="41" t="s">
        <v>33</v>
      </c>
      <c r="C152" s="378"/>
      <c r="D152" s="311"/>
      <c r="E152" s="311"/>
      <c r="F152" s="302"/>
      <c r="G152" s="48">
        <f t="shared" si="48"/>
        <v>0</v>
      </c>
      <c r="H152" s="48">
        <f t="shared" si="49"/>
        <v>0</v>
      </c>
      <c r="I152" s="48">
        <f t="shared" ref="I152:K152" si="60">I108+I97+I86+I141</f>
        <v>0</v>
      </c>
      <c r="J152" s="48">
        <f t="shared" si="60"/>
        <v>0</v>
      </c>
      <c r="K152" s="48">
        <f t="shared" si="60"/>
        <v>0</v>
      </c>
      <c r="L152" s="151">
        <f t="shared" ref="L152:M152" si="61">L108+L97+L86+L141</f>
        <v>0</v>
      </c>
      <c r="M152" s="253">
        <f t="shared" si="61"/>
        <v>0</v>
      </c>
      <c r="N152" s="253">
        <f t="shared" ref="N152:T152" si="62">N108+N97+N86+N141</f>
        <v>0</v>
      </c>
      <c r="O152" s="253">
        <f t="shared" si="62"/>
        <v>0</v>
      </c>
      <c r="P152" s="253">
        <f t="shared" si="62"/>
        <v>0</v>
      </c>
      <c r="Q152" s="253">
        <f t="shared" si="62"/>
        <v>0</v>
      </c>
      <c r="R152" s="253">
        <f t="shared" ref="R152:S152" si="63">R108+R97+R86+R141</f>
        <v>0</v>
      </c>
      <c r="S152" s="253">
        <f t="shared" si="63"/>
        <v>0</v>
      </c>
      <c r="T152" s="253">
        <f t="shared" si="62"/>
        <v>0</v>
      </c>
      <c r="U152" s="253">
        <f t="shared" ref="U152:W152" si="64">U108+U97+U86+U141</f>
        <v>0</v>
      </c>
      <c r="V152" s="253">
        <f t="shared" si="64"/>
        <v>0</v>
      </c>
      <c r="W152" s="253">
        <f t="shared" si="64"/>
        <v>0</v>
      </c>
      <c r="X152" s="48">
        <f t="shared" si="49"/>
        <v>0</v>
      </c>
      <c r="Y152" s="48">
        <f t="shared" si="49"/>
        <v>0</v>
      </c>
      <c r="Z152" s="368"/>
    </row>
    <row r="153" spans="1:27">
      <c r="A153" s="299"/>
      <c r="B153" s="23" t="s">
        <v>37</v>
      </c>
      <c r="C153" s="378"/>
      <c r="D153" s="311"/>
      <c r="E153" s="311"/>
      <c r="F153" s="302"/>
      <c r="G153" s="20">
        <f t="shared" si="48"/>
        <v>0</v>
      </c>
      <c r="H153" s="20">
        <f>SUM(H154:H155)</f>
        <v>0</v>
      </c>
      <c r="I153" s="20">
        <f t="shared" ref="I153:K153" si="65">SUM(I154:I155)</f>
        <v>0</v>
      </c>
      <c r="J153" s="20">
        <f t="shared" si="65"/>
        <v>0</v>
      </c>
      <c r="K153" s="20">
        <f t="shared" si="65"/>
        <v>0</v>
      </c>
      <c r="L153" s="150">
        <f t="shared" ref="L153:M153" si="66">SUM(L154:L155)</f>
        <v>0</v>
      </c>
      <c r="M153" s="254">
        <f t="shared" si="66"/>
        <v>0</v>
      </c>
      <c r="N153" s="254">
        <f t="shared" ref="N153:T153" si="67">SUM(N154:N155)</f>
        <v>0</v>
      </c>
      <c r="O153" s="254">
        <f t="shared" si="67"/>
        <v>0</v>
      </c>
      <c r="P153" s="254">
        <f t="shared" si="67"/>
        <v>0</v>
      </c>
      <c r="Q153" s="254">
        <f t="shared" si="67"/>
        <v>0</v>
      </c>
      <c r="R153" s="254">
        <f t="shared" ref="R153:S153" si="68">SUM(R154:R155)</f>
        <v>0</v>
      </c>
      <c r="S153" s="254">
        <f t="shared" si="68"/>
        <v>0</v>
      </c>
      <c r="T153" s="254">
        <f t="shared" si="67"/>
        <v>0</v>
      </c>
      <c r="U153" s="254">
        <f t="shared" ref="U153:W153" si="69">SUM(U154:U155)</f>
        <v>0</v>
      </c>
      <c r="V153" s="254">
        <f t="shared" si="69"/>
        <v>0</v>
      </c>
      <c r="W153" s="254">
        <f t="shared" si="69"/>
        <v>0</v>
      </c>
      <c r="X153" s="20">
        <f>SUM(X154:X155)</f>
        <v>0</v>
      </c>
      <c r="Y153" s="20">
        <f>SUM(Y154:Y155)</f>
        <v>0</v>
      </c>
      <c r="Z153" s="368"/>
    </row>
    <row r="154" spans="1:27">
      <c r="A154" s="299"/>
      <c r="B154" s="41" t="s">
        <v>56</v>
      </c>
      <c r="C154" s="378"/>
      <c r="D154" s="311"/>
      <c r="E154" s="311"/>
      <c r="F154" s="302"/>
      <c r="G154" s="48">
        <f t="shared" si="48"/>
        <v>0</v>
      </c>
      <c r="H154" s="48">
        <f>SUM(X154:Z154)</f>
        <v>0</v>
      </c>
      <c r="I154" s="48">
        <f t="shared" ref="I154:M156" si="70">SUM(Y154:AA154)</f>
        <v>0</v>
      </c>
      <c r="J154" s="48">
        <f t="shared" si="70"/>
        <v>0</v>
      </c>
      <c r="K154" s="48">
        <f t="shared" si="70"/>
        <v>0</v>
      </c>
      <c r="L154" s="151">
        <f t="shared" si="70"/>
        <v>0</v>
      </c>
      <c r="M154" s="253">
        <f t="shared" si="70"/>
        <v>0</v>
      </c>
      <c r="N154" s="253">
        <f t="shared" ref="N154:N156" si="71">SUM(AD154:AF154)</f>
        <v>0</v>
      </c>
      <c r="O154" s="253">
        <f>SUM(AE154:AG154)</f>
        <v>0</v>
      </c>
      <c r="P154" s="253">
        <f t="shared" ref="P154:P156" si="72">SUM(AF154:AH154)</f>
        <v>0</v>
      </c>
      <c r="Q154" s="253">
        <f t="shared" ref="Q154:Q156" si="73">SUM(AG154:AI154)</f>
        <v>0</v>
      </c>
      <c r="R154" s="253">
        <f t="shared" ref="R154:R156" si="74">SUM(AH154:AJ154)</f>
        <v>0</v>
      </c>
      <c r="S154" s="253">
        <f>SUM(AI154:AK154)</f>
        <v>0</v>
      </c>
      <c r="T154" s="253">
        <f t="shared" ref="T154:T156" si="75">SUM(AF154:AH154)</f>
        <v>0</v>
      </c>
      <c r="U154" s="253">
        <f t="shared" ref="U154:U156" si="76">SUM(AG154:AI154)</f>
        <v>0</v>
      </c>
      <c r="V154" s="253">
        <f t="shared" ref="V154:V156" si="77">SUM(AH154:AJ154)</f>
        <v>0</v>
      </c>
      <c r="W154" s="253">
        <f t="shared" ref="W154:W156" si="78">SUM(AI154:AK154)</f>
        <v>0</v>
      </c>
      <c r="X154" s="48">
        <f t="shared" ref="X154:Y156" si="79">SUM(Y154:AA154)</f>
        <v>0</v>
      </c>
      <c r="Y154" s="48">
        <f t="shared" si="79"/>
        <v>0</v>
      </c>
      <c r="Z154" s="368"/>
    </row>
    <row r="155" spans="1:27">
      <c r="A155" s="299"/>
      <c r="B155" s="41" t="s">
        <v>57</v>
      </c>
      <c r="C155" s="378"/>
      <c r="D155" s="311"/>
      <c r="E155" s="311"/>
      <c r="F155" s="302"/>
      <c r="G155" s="48">
        <f t="shared" si="48"/>
        <v>0</v>
      </c>
      <c r="H155" s="48">
        <f>SUM(X155:Z155)</f>
        <v>0</v>
      </c>
      <c r="I155" s="48">
        <f t="shared" si="70"/>
        <v>0</v>
      </c>
      <c r="J155" s="48">
        <f t="shared" si="70"/>
        <v>0</v>
      </c>
      <c r="K155" s="48">
        <f t="shared" si="70"/>
        <v>0</v>
      </c>
      <c r="L155" s="151">
        <f t="shared" si="70"/>
        <v>0</v>
      </c>
      <c r="M155" s="253">
        <f t="shared" si="70"/>
        <v>0</v>
      </c>
      <c r="N155" s="253">
        <f t="shared" si="71"/>
        <v>0</v>
      </c>
      <c r="O155" s="253">
        <f>SUM(AE155:AG155)</f>
        <v>0</v>
      </c>
      <c r="P155" s="253">
        <f t="shared" si="72"/>
        <v>0</v>
      </c>
      <c r="Q155" s="253">
        <f t="shared" si="73"/>
        <v>0</v>
      </c>
      <c r="R155" s="253">
        <f t="shared" si="74"/>
        <v>0</v>
      </c>
      <c r="S155" s="253">
        <f>SUM(AI155:AK155)</f>
        <v>0</v>
      </c>
      <c r="T155" s="253">
        <f t="shared" si="75"/>
        <v>0</v>
      </c>
      <c r="U155" s="253">
        <f t="shared" si="76"/>
        <v>0</v>
      </c>
      <c r="V155" s="253">
        <f t="shared" si="77"/>
        <v>0</v>
      </c>
      <c r="W155" s="253">
        <f t="shared" si="78"/>
        <v>0</v>
      </c>
      <c r="X155" s="48">
        <f t="shared" si="79"/>
        <v>0</v>
      </c>
      <c r="Y155" s="48">
        <f t="shared" si="79"/>
        <v>0</v>
      </c>
      <c r="Z155" s="368"/>
    </row>
    <row r="156" spans="1:27">
      <c r="A156" s="300"/>
      <c r="B156" s="23" t="s">
        <v>38</v>
      </c>
      <c r="C156" s="379"/>
      <c r="D156" s="312"/>
      <c r="E156" s="312"/>
      <c r="F156" s="303"/>
      <c r="G156" s="20">
        <f t="shared" si="48"/>
        <v>0</v>
      </c>
      <c r="H156" s="20">
        <f>SUM(X156:Z156)</f>
        <v>0</v>
      </c>
      <c r="I156" s="20">
        <f t="shared" si="70"/>
        <v>0</v>
      </c>
      <c r="J156" s="20">
        <f t="shared" si="70"/>
        <v>0</v>
      </c>
      <c r="K156" s="20">
        <f t="shared" si="70"/>
        <v>0</v>
      </c>
      <c r="L156" s="150">
        <f t="shared" si="70"/>
        <v>0</v>
      </c>
      <c r="M156" s="254">
        <f t="shared" si="70"/>
        <v>0</v>
      </c>
      <c r="N156" s="254">
        <f t="shared" si="71"/>
        <v>0</v>
      </c>
      <c r="O156" s="254">
        <f>SUM(AE156:AG156)</f>
        <v>0</v>
      </c>
      <c r="P156" s="254">
        <f t="shared" si="72"/>
        <v>0</v>
      </c>
      <c r="Q156" s="254">
        <f t="shared" si="73"/>
        <v>0</v>
      </c>
      <c r="R156" s="254">
        <f t="shared" si="74"/>
        <v>0</v>
      </c>
      <c r="S156" s="254">
        <f>SUM(AI156:AK156)</f>
        <v>0</v>
      </c>
      <c r="T156" s="254">
        <f t="shared" si="75"/>
        <v>0</v>
      </c>
      <c r="U156" s="254">
        <f t="shared" si="76"/>
        <v>0</v>
      </c>
      <c r="V156" s="254">
        <f t="shared" si="77"/>
        <v>0</v>
      </c>
      <c r="W156" s="254">
        <f t="shared" si="78"/>
        <v>0</v>
      </c>
      <c r="X156" s="20">
        <f t="shared" si="79"/>
        <v>0</v>
      </c>
      <c r="Y156" s="20">
        <f t="shared" si="79"/>
        <v>0</v>
      </c>
      <c r="Z156" s="369"/>
    </row>
    <row r="157" spans="1:27">
      <c r="A157" s="4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7">
      <c r="A158" s="3"/>
      <c r="B158" s="6"/>
      <c r="C158" s="6"/>
      <c r="D158" s="6"/>
      <c r="E158" s="6"/>
      <c r="F158" s="6"/>
      <c r="G158" s="29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29"/>
      <c r="Y158" s="29"/>
    </row>
    <row r="159" spans="1:27" ht="13.5" customHeight="1">
      <c r="A159" s="298"/>
      <c r="B159" s="15" t="s">
        <v>20</v>
      </c>
      <c r="C159" s="301"/>
      <c r="D159" s="310">
        <f>G144+G65</f>
        <v>442525.44999999995</v>
      </c>
      <c r="E159" s="301"/>
      <c r="F159" s="374">
        <f>G145+G66</f>
        <v>442525.44999999995</v>
      </c>
      <c r="G159" s="25">
        <f>G160+G162+G164+G168+G171</f>
        <v>442525.44999999995</v>
      </c>
      <c r="H159" s="25">
        <f>H160+H162+H164+H168+H171</f>
        <v>0</v>
      </c>
      <c r="I159" s="25">
        <f t="shared" ref="I159:K159" si="80">I160+I162+I164+I168+I171</f>
        <v>0</v>
      </c>
      <c r="J159" s="25">
        <f t="shared" si="80"/>
        <v>0</v>
      </c>
      <c r="K159" s="25">
        <f t="shared" si="80"/>
        <v>0</v>
      </c>
      <c r="L159" s="25">
        <f t="shared" ref="L159:O159" si="81">L160+L162+L164+L168+L171</f>
        <v>98577.400000000009</v>
      </c>
      <c r="M159" s="25">
        <f t="shared" si="81"/>
        <v>0</v>
      </c>
      <c r="N159" s="25">
        <f>N160+N162+N164+N168+N171</f>
        <v>0</v>
      </c>
      <c r="O159" s="25">
        <f t="shared" si="81"/>
        <v>0</v>
      </c>
      <c r="P159" s="25">
        <f t="shared" ref="P159:Q159" si="82">P160+P162+P164+P168+P171</f>
        <v>343948.1</v>
      </c>
      <c r="Q159" s="25">
        <f t="shared" si="82"/>
        <v>0</v>
      </c>
      <c r="R159" s="25">
        <f>R160+R162+R164+R168+R171</f>
        <v>0</v>
      </c>
      <c r="S159" s="25">
        <f t="shared" ref="S159" si="83">S160+S162+S164+S168+S171</f>
        <v>0</v>
      </c>
      <c r="T159" s="26">
        <f>L159+H159+P159</f>
        <v>442525.5</v>
      </c>
      <c r="U159" s="25">
        <f t="shared" ref="U159" si="84">U160+U162+U164+U168+U171</f>
        <v>0</v>
      </c>
      <c r="V159" s="25">
        <f>V160+V162+V164+V168+V171</f>
        <v>0</v>
      </c>
      <c r="W159" s="25">
        <f t="shared" ref="W159" si="85">W160+W162+W164+W168+W171</f>
        <v>0</v>
      </c>
      <c r="X159" s="25">
        <f>X160+X162+X164+X168+X171</f>
        <v>98577.35</v>
      </c>
      <c r="Y159" s="25">
        <f>Y160+Y162+Y164+Y168+Y171</f>
        <v>343948.1</v>
      </c>
      <c r="Z159" s="366"/>
    </row>
    <row r="160" spans="1:27" ht="12.75" customHeight="1">
      <c r="A160" s="299"/>
      <c r="B160" s="22" t="s">
        <v>127</v>
      </c>
      <c r="C160" s="302"/>
      <c r="D160" s="311"/>
      <c r="E160" s="302"/>
      <c r="F160" s="375"/>
      <c r="G160" s="339">
        <f>H160+X160+Y160</f>
        <v>442525.44999999995</v>
      </c>
      <c r="H160" s="370">
        <f>H145+H66</f>
        <v>0</v>
      </c>
      <c r="I160" s="370">
        <f t="shared" ref="I160:K160" si="86">I145+I66</f>
        <v>0</v>
      </c>
      <c r="J160" s="370">
        <f t="shared" si="86"/>
        <v>0</v>
      </c>
      <c r="K160" s="370">
        <f t="shared" si="86"/>
        <v>0</v>
      </c>
      <c r="L160" s="370">
        <f>L145+L66</f>
        <v>98577.400000000009</v>
      </c>
      <c r="M160" s="370">
        <f t="shared" ref="M160:O160" si="87">M145+M66</f>
        <v>0</v>
      </c>
      <c r="N160" s="370">
        <f>N145+N66</f>
        <v>0</v>
      </c>
      <c r="O160" s="370">
        <f t="shared" si="87"/>
        <v>0</v>
      </c>
      <c r="P160" s="370">
        <f>P145+P66</f>
        <v>343948.1</v>
      </c>
      <c r="Q160" s="370">
        <f t="shared" ref="Q160" si="88">Q145+Q66</f>
        <v>0</v>
      </c>
      <c r="R160" s="370">
        <f>R145+R66</f>
        <v>0</v>
      </c>
      <c r="S160" s="370">
        <f t="shared" ref="S160" si="89">S145+S66</f>
        <v>0</v>
      </c>
      <c r="T160" s="370">
        <f>L160+H160+P160</f>
        <v>442525.5</v>
      </c>
      <c r="U160" s="370">
        <f t="shared" ref="U160" si="90">U145+U66</f>
        <v>0</v>
      </c>
      <c r="V160" s="370">
        <f>V145+V66</f>
        <v>0</v>
      </c>
      <c r="W160" s="370">
        <f t="shared" ref="W160" si="91">W145+W66</f>
        <v>0</v>
      </c>
      <c r="X160" s="370">
        <f>X145+X66</f>
        <v>98577.35</v>
      </c>
      <c r="Y160" s="370">
        <f>Y145+Y66</f>
        <v>343948.1</v>
      </c>
      <c r="Z160" s="342"/>
    </row>
    <row r="161" spans="1:27" ht="12.75" customHeight="1">
      <c r="A161" s="299"/>
      <c r="B161" s="40" t="s">
        <v>117</v>
      </c>
      <c r="C161" s="302"/>
      <c r="D161" s="311"/>
      <c r="E161" s="302"/>
      <c r="F161" s="375"/>
      <c r="G161" s="373"/>
      <c r="H161" s="370"/>
      <c r="I161" s="370"/>
      <c r="J161" s="370"/>
      <c r="K161" s="370"/>
      <c r="L161" s="370"/>
      <c r="M161" s="370"/>
      <c r="N161" s="370"/>
      <c r="O161" s="370"/>
      <c r="P161" s="370"/>
      <c r="Q161" s="370"/>
      <c r="R161" s="370"/>
      <c r="S161" s="370"/>
      <c r="T161" s="370">
        <f t="shared" ref="T161:T170" si="92">L161+H161</f>
        <v>0</v>
      </c>
      <c r="U161" s="370"/>
      <c r="V161" s="370"/>
      <c r="W161" s="370"/>
      <c r="X161" s="370"/>
      <c r="Y161" s="370"/>
      <c r="Z161" s="342"/>
      <c r="AA161" s="2"/>
    </row>
    <row r="162" spans="1:27">
      <c r="A162" s="299"/>
      <c r="B162" s="23" t="s">
        <v>29</v>
      </c>
      <c r="C162" s="302"/>
      <c r="D162" s="311"/>
      <c r="E162" s="302"/>
      <c r="F162" s="375"/>
      <c r="G162" s="20">
        <f>SUM(G163)</f>
        <v>0</v>
      </c>
      <c r="H162" s="20">
        <f>H163</f>
        <v>0</v>
      </c>
      <c r="I162" s="20">
        <f t="shared" ref="I162:W162" si="93">I163</f>
        <v>0</v>
      </c>
      <c r="J162" s="20">
        <f t="shared" si="93"/>
        <v>0</v>
      </c>
      <c r="K162" s="20">
        <f t="shared" si="93"/>
        <v>0</v>
      </c>
      <c r="L162" s="150">
        <f t="shared" si="93"/>
        <v>0</v>
      </c>
      <c r="M162" s="254">
        <f t="shared" si="93"/>
        <v>0</v>
      </c>
      <c r="N162" s="254">
        <f t="shared" si="93"/>
        <v>0</v>
      </c>
      <c r="O162" s="254">
        <f t="shared" si="93"/>
        <v>0</v>
      </c>
      <c r="P162" s="254">
        <f t="shared" si="93"/>
        <v>0</v>
      </c>
      <c r="Q162" s="254">
        <f t="shared" si="93"/>
        <v>0</v>
      </c>
      <c r="R162" s="254">
        <f t="shared" si="93"/>
        <v>0</v>
      </c>
      <c r="S162" s="254">
        <f t="shared" si="93"/>
        <v>0</v>
      </c>
      <c r="T162" s="26">
        <f t="shared" si="92"/>
        <v>0</v>
      </c>
      <c r="U162" s="254">
        <f t="shared" si="93"/>
        <v>0</v>
      </c>
      <c r="V162" s="254">
        <f t="shared" si="93"/>
        <v>0</v>
      </c>
      <c r="W162" s="254">
        <f t="shared" si="93"/>
        <v>0</v>
      </c>
      <c r="X162" s="20">
        <f>X163</f>
        <v>0</v>
      </c>
      <c r="Y162" s="20">
        <f>Y163</f>
        <v>0</v>
      </c>
      <c r="Z162" s="342"/>
    </row>
    <row r="163" spans="1:27" ht="15.75" customHeight="1">
      <c r="A163" s="299"/>
      <c r="B163" s="44" t="s">
        <v>42</v>
      </c>
      <c r="C163" s="302"/>
      <c r="D163" s="311"/>
      <c r="E163" s="302"/>
      <c r="F163" s="375"/>
      <c r="G163" s="48">
        <f>SUM(H163:Y163)</f>
        <v>0</v>
      </c>
      <c r="H163" s="48">
        <f>H69+H148</f>
        <v>0</v>
      </c>
      <c r="I163" s="48">
        <f t="shared" ref="I163:K163" si="94">I69+I148</f>
        <v>0</v>
      </c>
      <c r="J163" s="48">
        <f t="shared" si="94"/>
        <v>0</v>
      </c>
      <c r="K163" s="48">
        <f t="shared" si="94"/>
        <v>0</v>
      </c>
      <c r="L163" s="151">
        <f t="shared" ref="L163:O163" si="95">L69+L148</f>
        <v>0</v>
      </c>
      <c r="M163" s="253">
        <f t="shared" si="95"/>
        <v>0</v>
      </c>
      <c r="N163" s="253">
        <f t="shared" si="95"/>
        <v>0</v>
      </c>
      <c r="O163" s="253">
        <f t="shared" si="95"/>
        <v>0</v>
      </c>
      <c r="P163" s="253">
        <f t="shared" ref="P163:S163" si="96">P69+P148</f>
        <v>0</v>
      </c>
      <c r="Q163" s="253">
        <f t="shared" si="96"/>
        <v>0</v>
      </c>
      <c r="R163" s="253">
        <f t="shared" si="96"/>
        <v>0</v>
      </c>
      <c r="S163" s="253">
        <f t="shared" si="96"/>
        <v>0</v>
      </c>
      <c r="T163" s="26">
        <f t="shared" si="92"/>
        <v>0</v>
      </c>
      <c r="U163" s="253">
        <f t="shared" ref="U163:W163" si="97">U69+U148</f>
        <v>0</v>
      </c>
      <c r="V163" s="253">
        <f t="shared" si="97"/>
        <v>0</v>
      </c>
      <c r="W163" s="253">
        <f t="shared" si="97"/>
        <v>0</v>
      </c>
      <c r="X163" s="48">
        <f>X69+X148</f>
        <v>0</v>
      </c>
      <c r="Y163" s="48">
        <f>Y69+Y148</f>
        <v>0</v>
      </c>
      <c r="Z163" s="342"/>
      <c r="AA163" s="2"/>
    </row>
    <row r="164" spans="1:27" ht="15.75" customHeight="1">
      <c r="A164" s="299"/>
      <c r="B164" s="23" t="s">
        <v>30</v>
      </c>
      <c r="C164" s="302"/>
      <c r="D164" s="311"/>
      <c r="E164" s="302"/>
      <c r="F164" s="375"/>
      <c r="G164" s="20">
        <f>SUM(G165:G167)</f>
        <v>0</v>
      </c>
      <c r="H164" s="20">
        <f>SUM(H165:H167)</f>
        <v>0</v>
      </c>
      <c r="I164" s="20">
        <f t="shared" ref="I164:K164" si="98">SUM(I165:I167)</f>
        <v>0</v>
      </c>
      <c r="J164" s="20">
        <f t="shared" si="98"/>
        <v>0</v>
      </c>
      <c r="K164" s="20">
        <f t="shared" si="98"/>
        <v>0</v>
      </c>
      <c r="L164" s="150">
        <f t="shared" ref="L164:O164" si="99">SUM(L165:L167)</f>
        <v>0</v>
      </c>
      <c r="M164" s="254">
        <f t="shared" si="99"/>
        <v>0</v>
      </c>
      <c r="N164" s="254">
        <f t="shared" si="99"/>
        <v>0</v>
      </c>
      <c r="O164" s="254">
        <f t="shared" si="99"/>
        <v>0</v>
      </c>
      <c r="P164" s="254">
        <f t="shared" ref="P164:S164" si="100">SUM(P165:P167)</f>
        <v>0</v>
      </c>
      <c r="Q164" s="254">
        <f t="shared" si="100"/>
        <v>0</v>
      </c>
      <c r="R164" s="254">
        <f t="shared" si="100"/>
        <v>0</v>
      </c>
      <c r="S164" s="254">
        <f t="shared" si="100"/>
        <v>0</v>
      </c>
      <c r="T164" s="26">
        <f t="shared" si="92"/>
        <v>0</v>
      </c>
      <c r="U164" s="254">
        <f t="shared" ref="U164:W164" si="101">SUM(U165:U167)</f>
        <v>0</v>
      </c>
      <c r="V164" s="254">
        <f t="shared" si="101"/>
        <v>0</v>
      </c>
      <c r="W164" s="254">
        <f t="shared" si="101"/>
        <v>0</v>
      </c>
      <c r="X164" s="20">
        <f>SUM(X165:X167)</f>
        <v>0</v>
      </c>
      <c r="Y164" s="20">
        <f>SUM(Y165:Y167)</f>
        <v>0</v>
      </c>
      <c r="Z164" s="342"/>
    </row>
    <row r="165" spans="1:27">
      <c r="A165" s="299"/>
      <c r="B165" s="44" t="s">
        <v>41</v>
      </c>
      <c r="C165" s="302"/>
      <c r="D165" s="311"/>
      <c r="E165" s="302"/>
      <c r="F165" s="375"/>
      <c r="G165" s="48">
        <f t="shared" ref="G165:G171" si="102">SUM(H165:Y165)</f>
        <v>0</v>
      </c>
      <c r="H165" s="48">
        <f>H150+H71</f>
        <v>0</v>
      </c>
      <c r="I165" s="48">
        <f t="shared" ref="I165:K165" si="103">I150+I71</f>
        <v>0</v>
      </c>
      <c r="J165" s="48">
        <f t="shared" si="103"/>
        <v>0</v>
      </c>
      <c r="K165" s="48">
        <f t="shared" si="103"/>
        <v>0</v>
      </c>
      <c r="L165" s="151">
        <f t="shared" ref="L165:O165" si="104">L150+L71</f>
        <v>0</v>
      </c>
      <c r="M165" s="253">
        <f t="shared" si="104"/>
        <v>0</v>
      </c>
      <c r="N165" s="253">
        <f t="shared" si="104"/>
        <v>0</v>
      </c>
      <c r="O165" s="253">
        <f t="shared" si="104"/>
        <v>0</v>
      </c>
      <c r="P165" s="253">
        <f t="shared" ref="P165:S165" si="105">P150+P71</f>
        <v>0</v>
      </c>
      <c r="Q165" s="253">
        <f t="shared" si="105"/>
        <v>0</v>
      </c>
      <c r="R165" s="253">
        <f t="shared" si="105"/>
        <v>0</v>
      </c>
      <c r="S165" s="253">
        <f t="shared" si="105"/>
        <v>0</v>
      </c>
      <c r="T165" s="26">
        <f t="shared" si="92"/>
        <v>0</v>
      </c>
      <c r="U165" s="253">
        <f t="shared" ref="U165:W165" si="106">U150+U71</f>
        <v>0</v>
      </c>
      <c r="V165" s="253">
        <f t="shared" si="106"/>
        <v>0</v>
      </c>
      <c r="W165" s="253">
        <f t="shared" si="106"/>
        <v>0</v>
      </c>
      <c r="X165" s="48">
        <f t="shared" ref="X165:Y167" si="107">X150+X71</f>
        <v>0</v>
      </c>
      <c r="Y165" s="48">
        <f t="shared" si="107"/>
        <v>0</v>
      </c>
      <c r="Z165" s="342"/>
    </row>
    <row r="166" spans="1:27">
      <c r="A166" s="299"/>
      <c r="B166" s="41" t="s">
        <v>32</v>
      </c>
      <c r="C166" s="302"/>
      <c r="D166" s="311"/>
      <c r="E166" s="302"/>
      <c r="F166" s="375"/>
      <c r="G166" s="48">
        <f t="shared" si="102"/>
        <v>0</v>
      </c>
      <c r="H166" s="48">
        <f>H151+H72</f>
        <v>0</v>
      </c>
      <c r="I166" s="48">
        <f t="shared" ref="I166:K166" si="108">I151+I72</f>
        <v>0</v>
      </c>
      <c r="J166" s="48">
        <f t="shared" si="108"/>
        <v>0</v>
      </c>
      <c r="K166" s="48">
        <f t="shared" si="108"/>
        <v>0</v>
      </c>
      <c r="L166" s="151">
        <f t="shared" ref="L166:O166" si="109">L151+L72</f>
        <v>0</v>
      </c>
      <c r="M166" s="253">
        <f t="shared" si="109"/>
        <v>0</v>
      </c>
      <c r="N166" s="253">
        <f t="shared" si="109"/>
        <v>0</v>
      </c>
      <c r="O166" s="253">
        <f t="shared" si="109"/>
        <v>0</v>
      </c>
      <c r="P166" s="253">
        <f t="shared" ref="P166:S166" si="110">P151+P72</f>
        <v>0</v>
      </c>
      <c r="Q166" s="253">
        <f t="shared" si="110"/>
        <v>0</v>
      </c>
      <c r="R166" s="253">
        <f t="shared" si="110"/>
        <v>0</v>
      </c>
      <c r="S166" s="253">
        <f t="shared" si="110"/>
        <v>0</v>
      </c>
      <c r="T166" s="26">
        <f t="shared" si="92"/>
        <v>0</v>
      </c>
      <c r="U166" s="253">
        <f t="shared" ref="U166:W166" si="111">U151+U72</f>
        <v>0</v>
      </c>
      <c r="V166" s="253">
        <f t="shared" si="111"/>
        <v>0</v>
      </c>
      <c r="W166" s="253">
        <f t="shared" si="111"/>
        <v>0</v>
      </c>
      <c r="X166" s="48">
        <f t="shared" si="107"/>
        <v>0</v>
      </c>
      <c r="Y166" s="48">
        <f t="shared" si="107"/>
        <v>0</v>
      </c>
      <c r="Z166" s="342"/>
    </row>
    <row r="167" spans="1:27" ht="15" customHeight="1">
      <c r="A167" s="299"/>
      <c r="B167" s="41" t="s">
        <v>33</v>
      </c>
      <c r="C167" s="302"/>
      <c r="D167" s="311"/>
      <c r="E167" s="302"/>
      <c r="F167" s="375"/>
      <c r="G167" s="48">
        <f t="shared" si="102"/>
        <v>0</v>
      </c>
      <c r="H167" s="48">
        <f>H152+H73</f>
        <v>0</v>
      </c>
      <c r="I167" s="48">
        <f t="shared" ref="I167:K167" si="112">I152+I73</f>
        <v>0</v>
      </c>
      <c r="J167" s="48">
        <f t="shared" si="112"/>
        <v>0</v>
      </c>
      <c r="K167" s="48">
        <f t="shared" si="112"/>
        <v>0</v>
      </c>
      <c r="L167" s="151">
        <f t="shared" ref="L167:O167" si="113">L152+L73</f>
        <v>0</v>
      </c>
      <c r="M167" s="253">
        <f t="shared" si="113"/>
        <v>0</v>
      </c>
      <c r="N167" s="253">
        <f t="shared" si="113"/>
        <v>0</v>
      </c>
      <c r="O167" s="253">
        <f t="shared" si="113"/>
        <v>0</v>
      </c>
      <c r="P167" s="253">
        <f t="shared" ref="P167:S167" si="114">P152+P73</f>
        <v>0</v>
      </c>
      <c r="Q167" s="253">
        <f t="shared" si="114"/>
        <v>0</v>
      </c>
      <c r="R167" s="253">
        <f t="shared" si="114"/>
        <v>0</v>
      </c>
      <c r="S167" s="253">
        <f t="shared" si="114"/>
        <v>0</v>
      </c>
      <c r="T167" s="26">
        <f t="shared" si="92"/>
        <v>0</v>
      </c>
      <c r="U167" s="253">
        <f t="shared" ref="U167:W167" si="115">U152+U73</f>
        <v>0</v>
      </c>
      <c r="V167" s="253">
        <f t="shared" si="115"/>
        <v>0</v>
      </c>
      <c r="W167" s="253">
        <f t="shared" si="115"/>
        <v>0</v>
      </c>
      <c r="X167" s="48">
        <f t="shared" si="107"/>
        <v>0</v>
      </c>
      <c r="Y167" s="48">
        <f t="shared" si="107"/>
        <v>0</v>
      </c>
      <c r="Z167" s="342"/>
    </row>
    <row r="168" spans="1:27" ht="15" customHeight="1">
      <c r="A168" s="299"/>
      <c r="B168" s="23" t="s">
        <v>37</v>
      </c>
      <c r="C168" s="302"/>
      <c r="D168" s="311"/>
      <c r="E168" s="302"/>
      <c r="F168" s="375"/>
      <c r="G168" s="20">
        <f t="shared" si="102"/>
        <v>0</v>
      </c>
      <c r="H168" s="20">
        <f>SUM(H169:H170)</f>
        <v>0</v>
      </c>
      <c r="I168" s="20">
        <f t="shared" ref="I168:K168" si="116">SUM(I169:I170)</f>
        <v>0</v>
      </c>
      <c r="J168" s="20">
        <f t="shared" si="116"/>
        <v>0</v>
      </c>
      <c r="K168" s="20">
        <f t="shared" si="116"/>
        <v>0</v>
      </c>
      <c r="L168" s="150">
        <f t="shared" ref="L168:O168" si="117">SUM(L169:L170)</f>
        <v>0</v>
      </c>
      <c r="M168" s="254">
        <f t="shared" si="117"/>
        <v>0</v>
      </c>
      <c r="N168" s="254">
        <f t="shared" si="117"/>
        <v>0</v>
      </c>
      <c r="O168" s="254">
        <f t="shared" si="117"/>
        <v>0</v>
      </c>
      <c r="P168" s="254">
        <f t="shared" ref="P168:S168" si="118">SUM(P169:P170)</f>
        <v>0</v>
      </c>
      <c r="Q168" s="254">
        <f t="shared" si="118"/>
        <v>0</v>
      </c>
      <c r="R168" s="254">
        <f t="shared" si="118"/>
        <v>0</v>
      </c>
      <c r="S168" s="254">
        <f t="shared" si="118"/>
        <v>0</v>
      </c>
      <c r="T168" s="26">
        <f t="shared" si="92"/>
        <v>0</v>
      </c>
      <c r="U168" s="254">
        <f t="shared" ref="U168:W168" si="119">SUM(U169:U170)</f>
        <v>0</v>
      </c>
      <c r="V168" s="254">
        <f t="shared" si="119"/>
        <v>0</v>
      </c>
      <c r="W168" s="254">
        <f t="shared" si="119"/>
        <v>0</v>
      </c>
      <c r="X168" s="20">
        <f>SUM(X169:X170)</f>
        <v>0</v>
      </c>
      <c r="Y168" s="20">
        <f>SUM(Y169:Y170)</f>
        <v>0</v>
      </c>
      <c r="Z168" s="342"/>
    </row>
    <row r="169" spans="1:27" ht="15" customHeight="1">
      <c r="A169" s="299"/>
      <c r="B169" s="41" t="s">
        <v>56</v>
      </c>
      <c r="C169" s="302"/>
      <c r="D169" s="311"/>
      <c r="E169" s="302"/>
      <c r="F169" s="375"/>
      <c r="G169" s="48">
        <f t="shared" si="102"/>
        <v>0</v>
      </c>
      <c r="H169" s="48">
        <f t="shared" ref="H169:Y170" si="120">H154</f>
        <v>0</v>
      </c>
      <c r="I169" s="48">
        <f t="shared" ref="I169:K169" si="121">I154</f>
        <v>0</v>
      </c>
      <c r="J169" s="48">
        <f t="shared" si="121"/>
        <v>0</v>
      </c>
      <c r="K169" s="48">
        <f t="shared" si="121"/>
        <v>0</v>
      </c>
      <c r="L169" s="151">
        <f t="shared" ref="L169:O169" si="122">L154</f>
        <v>0</v>
      </c>
      <c r="M169" s="253">
        <f t="shared" si="122"/>
        <v>0</v>
      </c>
      <c r="N169" s="253">
        <f t="shared" si="122"/>
        <v>0</v>
      </c>
      <c r="O169" s="253">
        <f t="shared" si="122"/>
        <v>0</v>
      </c>
      <c r="P169" s="253">
        <f t="shared" ref="P169:S169" si="123">P154</f>
        <v>0</v>
      </c>
      <c r="Q169" s="253">
        <f t="shared" si="123"/>
        <v>0</v>
      </c>
      <c r="R169" s="253">
        <f t="shared" si="123"/>
        <v>0</v>
      </c>
      <c r="S169" s="253">
        <f t="shared" si="123"/>
        <v>0</v>
      </c>
      <c r="T169" s="26">
        <f t="shared" si="92"/>
        <v>0</v>
      </c>
      <c r="U169" s="253">
        <f t="shared" ref="U169:W169" si="124">U154</f>
        <v>0</v>
      </c>
      <c r="V169" s="253">
        <f t="shared" si="124"/>
        <v>0</v>
      </c>
      <c r="W169" s="253">
        <f t="shared" si="124"/>
        <v>0</v>
      </c>
      <c r="X169" s="48">
        <f t="shared" si="120"/>
        <v>0</v>
      </c>
      <c r="Y169" s="48">
        <f t="shared" si="120"/>
        <v>0</v>
      </c>
      <c r="Z169" s="342"/>
    </row>
    <row r="170" spans="1:27" ht="15" customHeight="1">
      <c r="A170" s="299"/>
      <c r="B170" s="41" t="s">
        <v>57</v>
      </c>
      <c r="C170" s="302"/>
      <c r="D170" s="311"/>
      <c r="E170" s="302"/>
      <c r="F170" s="375"/>
      <c r="G170" s="48">
        <f t="shared" si="102"/>
        <v>0</v>
      </c>
      <c r="H170" s="48">
        <f t="shared" si="120"/>
        <v>0</v>
      </c>
      <c r="I170" s="48">
        <f t="shared" ref="I170:K170" si="125">I155</f>
        <v>0</v>
      </c>
      <c r="J170" s="48">
        <f t="shared" si="125"/>
        <v>0</v>
      </c>
      <c r="K170" s="48">
        <f t="shared" si="125"/>
        <v>0</v>
      </c>
      <c r="L170" s="151">
        <f t="shared" ref="L170:O170" si="126">L155</f>
        <v>0</v>
      </c>
      <c r="M170" s="253">
        <f t="shared" si="126"/>
        <v>0</v>
      </c>
      <c r="N170" s="253">
        <f t="shared" si="126"/>
        <v>0</v>
      </c>
      <c r="O170" s="253">
        <f t="shared" si="126"/>
        <v>0</v>
      </c>
      <c r="P170" s="253">
        <f t="shared" ref="P170:S170" si="127">P155</f>
        <v>0</v>
      </c>
      <c r="Q170" s="253">
        <f t="shared" si="127"/>
        <v>0</v>
      </c>
      <c r="R170" s="253">
        <f t="shared" si="127"/>
        <v>0</v>
      </c>
      <c r="S170" s="253">
        <f t="shared" si="127"/>
        <v>0</v>
      </c>
      <c r="T170" s="26">
        <f t="shared" si="92"/>
        <v>0</v>
      </c>
      <c r="U170" s="253">
        <f t="shared" ref="U170:W170" si="128">U155</f>
        <v>0</v>
      </c>
      <c r="V170" s="253">
        <f t="shared" si="128"/>
        <v>0</v>
      </c>
      <c r="W170" s="253">
        <f t="shared" si="128"/>
        <v>0</v>
      </c>
      <c r="X170" s="48">
        <f t="shared" si="120"/>
        <v>0</v>
      </c>
      <c r="Y170" s="48">
        <f t="shared" si="120"/>
        <v>0</v>
      </c>
      <c r="Z170" s="342"/>
    </row>
    <row r="171" spans="1:27" ht="15" customHeight="1">
      <c r="A171" s="300"/>
      <c r="B171" s="23" t="s">
        <v>38</v>
      </c>
      <c r="C171" s="303"/>
      <c r="D171" s="312"/>
      <c r="E171" s="303"/>
      <c r="F171" s="376"/>
      <c r="G171" s="20">
        <f t="shared" si="102"/>
        <v>0</v>
      </c>
      <c r="H171" s="20"/>
      <c r="I171" s="20"/>
      <c r="J171" s="20"/>
      <c r="K171" s="20"/>
      <c r="L171" s="150"/>
      <c r="M171" s="254"/>
      <c r="N171" s="254"/>
      <c r="O171" s="254"/>
      <c r="P171" s="254"/>
      <c r="Q171" s="254"/>
      <c r="R171" s="254"/>
      <c r="S171" s="254"/>
      <c r="T171" s="150"/>
      <c r="U171" s="150"/>
      <c r="V171" s="150"/>
      <c r="W171" s="150"/>
      <c r="X171" s="20"/>
      <c r="Y171" s="20"/>
      <c r="Z171" s="343"/>
    </row>
  </sheetData>
  <mergeCells count="213">
    <mergeCell ref="S160:S161"/>
    <mergeCell ref="T11:T12"/>
    <mergeCell ref="T55:T56"/>
    <mergeCell ref="T101:T102"/>
    <mergeCell ref="T134:T135"/>
    <mergeCell ref="T44:T45"/>
    <mergeCell ref="T112:T113"/>
    <mergeCell ref="P5:S5"/>
    <mergeCell ref="P11:P12"/>
    <mergeCell ref="P33:P34"/>
    <mergeCell ref="P44:P45"/>
    <mergeCell ref="P55:P56"/>
    <mergeCell ref="P66:P67"/>
    <mergeCell ref="P90:P91"/>
    <mergeCell ref="P101:P102"/>
    <mergeCell ref="P112:P113"/>
    <mergeCell ref="G5:G6"/>
    <mergeCell ref="H5:K5"/>
    <mergeCell ref="I66:I67"/>
    <mergeCell ref="J66:J67"/>
    <mergeCell ref="K66:K67"/>
    <mergeCell ref="B8:Z8"/>
    <mergeCell ref="H11:H12"/>
    <mergeCell ref="F10:F20"/>
    <mergeCell ref="E10:E20"/>
    <mergeCell ref="D10:D20"/>
    <mergeCell ref="Z21:Z31"/>
    <mergeCell ref="X22:X23"/>
    <mergeCell ref="Z10:Z20"/>
    <mergeCell ref="X11:X12"/>
    <mergeCell ref="Y22:Y23"/>
    <mergeCell ref="Y11:Y12"/>
    <mergeCell ref="F5:F6"/>
    <mergeCell ref="C10:C20"/>
    <mergeCell ref="C32:C42"/>
    <mergeCell ref="F32:F42"/>
    <mergeCell ref="D21:D31"/>
    <mergeCell ref="H33:H34"/>
    <mergeCell ref="X55:X56"/>
    <mergeCell ref="Y55:Y56"/>
    <mergeCell ref="A43:A53"/>
    <mergeCell ref="C43:C53"/>
    <mergeCell ref="X112:X113"/>
    <mergeCell ref="G145:G146"/>
    <mergeCell ref="X134:X135"/>
    <mergeCell ref="E54:E64"/>
    <mergeCell ref="F65:F75"/>
    <mergeCell ref="E122:E132"/>
    <mergeCell ref="F122:F132"/>
    <mergeCell ref="D100:D110"/>
    <mergeCell ref="D133:D143"/>
    <mergeCell ref="E133:E143"/>
    <mergeCell ref="A65:A75"/>
    <mergeCell ref="C111:C121"/>
    <mergeCell ref="C100:C110"/>
    <mergeCell ref="C144:C156"/>
    <mergeCell ref="L44:L45"/>
    <mergeCell ref="L55:L56"/>
    <mergeCell ref="L66:L67"/>
    <mergeCell ref="L90:L91"/>
    <mergeCell ref="I145:I146"/>
    <mergeCell ref="J145:J146"/>
    <mergeCell ref="K145:K146"/>
    <mergeCell ref="G55:G56"/>
    <mergeCell ref="X90:X91"/>
    <mergeCell ref="X160:X161"/>
    <mergeCell ref="X101:X102"/>
    <mergeCell ref="Y123:Y124"/>
    <mergeCell ref="Y160:Y161"/>
    <mergeCell ref="Y90:Y91"/>
    <mergeCell ref="L101:L102"/>
    <mergeCell ref="L112:L113"/>
    <mergeCell ref="L134:L135"/>
    <mergeCell ref="L145:L146"/>
    <mergeCell ref="L160:L161"/>
    <mergeCell ref="M145:M146"/>
    <mergeCell ref="N145:N146"/>
    <mergeCell ref="O145:O146"/>
    <mergeCell ref="U145:U146"/>
    <mergeCell ref="V145:V146"/>
    <mergeCell ref="W145:W146"/>
    <mergeCell ref="T90:T91"/>
    <mergeCell ref="T145:T146"/>
    <mergeCell ref="M160:M161"/>
    <mergeCell ref="N160:N161"/>
    <mergeCell ref="O160:O161"/>
    <mergeCell ref="T160:T161"/>
    <mergeCell ref="U160:U161"/>
    <mergeCell ref="G160:G161"/>
    <mergeCell ref="E159:E171"/>
    <mergeCell ref="F159:F171"/>
    <mergeCell ref="F133:F143"/>
    <mergeCell ref="E144:E156"/>
    <mergeCell ref="G112:G113"/>
    <mergeCell ref="E100:E110"/>
    <mergeCell ref="Y101:Y102"/>
    <mergeCell ref="Y134:Y135"/>
    <mergeCell ref="Y112:Y113"/>
    <mergeCell ref="H160:H161"/>
    <mergeCell ref="I160:I161"/>
    <mergeCell ref="J160:J161"/>
    <mergeCell ref="K160:K161"/>
    <mergeCell ref="V160:V161"/>
    <mergeCell ref="W160:W161"/>
    <mergeCell ref="P134:P135"/>
    <mergeCell ref="P145:P146"/>
    <mergeCell ref="Q145:Q146"/>
    <mergeCell ref="R145:R146"/>
    <mergeCell ref="S145:S146"/>
    <mergeCell ref="P160:P161"/>
    <mergeCell ref="Q160:Q161"/>
    <mergeCell ref="R160:R161"/>
    <mergeCell ref="D89:D99"/>
    <mergeCell ref="H134:H135"/>
    <mergeCell ref="H101:H102"/>
    <mergeCell ref="F89:F99"/>
    <mergeCell ref="G134:G135"/>
    <mergeCell ref="E89:E99"/>
    <mergeCell ref="F111:F121"/>
    <mergeCell ref="F144:F156"/>
    <mergeCell ref="G123:G124"/>
    <mergeCell ref="G101:G102"/>
    <mergeCell ref="Z78:Z88"/>
    <mergeCell ref="C65:C75"/>
    <mergeCell ref="Z159:Z171"/>
    <mergeCell ref="Z144:Z156"/>
    <mergeCell ref="H145:H146"/>
    <mergeCell ref="X145:X146"/>
    <mergeCell ref="Y145:Y146"/>
    <mergeCell ref="Z100:Z110"/>
    <mergeCell ref="Z111:Z121"/>
    <mergeCell ref="Z122:Z132"/>
    <mergeCell ref="X66:X67"/>
    <mergeCell ref="X123:X124"/>
    <mergeCell ref="H66:H67"/>
    <mergeCell ref="C78:C88"/>
    <mergeCell ref="H123:H124"/>
    <mergeCell ref="Z89:Z99"/>
    <mergeCell ref="X79:X80"/>
    <mergeCell ref="H79:H80"/>
    <mergeCell ref="F100:F110"/>
    <mergeCell ref="H90:H91"/>
    <mergeCell ref="E111:E121"/>
    <mergeCell ref="G90:G91"/>
    <mergeCell ref="H112:H113"/>
    <mergeCell ref="D159:D171"/>
    <mergeCell ref="X33:X34"/>
    <mergeCell ref="Y33:Y34"/>
    <mergeCell ref="D43:D53"/>
    <mergeCell ref="Z65:Z75"/>
    <mergeCell ref="E21:E31"/>
    <mergeCell ref="C54:C64"/>
    <mergeCell ref="F54:F64"/>
    <mergeCell ref="D65:D75"/>
    <mergeCell ref="D54:D64"/>
    <mergeCell ref="G33:G34"/>
    <mergeCell ref="G66:G67"/>
    <mergeCell ref="F43:F53"/>
    <mergeCell ref="H22:H23"/>
    <mergeCell ref="E43:E53"/>
    <mergeCell ref="H44:H45"/>
    <mergeCell ref="F21:F31"/>
    <mergeCell ref="G22:G23"/>
    <mergeCell ref="E65:E75"/>
    <mergeCell ref="T66:T67"/>
    <mergeCell ref="A21:A31"/>
    <mergeCell ref="Z5:Z6"/>
    <mergeCell ref="X44:X45"/>
    <mergeCell ref="Y44:Y45"/>
    <mergeCell ref="A10:A20"/>
    <mergeCell ref="Y79:Y80"/>
    <mergeCell ref="F78:F88"/>
    <mergeCell ref="E78:E88"/>
    <mergeCell ref="G79:G80"/>
    <mergeCell ref="E32:E42"/>
    <mergeCell ref="G11:G12"/>
    <mergeCell ref="D32:D42"/>
    <mergeCell ref="C21:C31"/>
    <mergeCell ref="Y66:Y67"/>
    <mergeCell ref="Z54:Z64"/>
    <mergeCell ref="H55:H56"/>
    <mergeCell ref="G44:G45"/>
    <mergeCell ref="A32:A42"/>
    <mergeCell ref="L5:O5"/>
    <mergeCell ref="T5:W5"/>
    <mergeCell ref="L11:L12"/>
    <mergeCell ref="L33:L34"/>
    <mergeCell ref="Z32:Z42"/>
    <mergeCell ref="Z43:Z53"/>
    <mergeCell ref="A2:Y2"/>
    <mergeCell ref="A3:Y3"/>
    <mergeCell ref="A5:A6"/>
    <mergeCell ref="B5:B6"/>
    <mergeCell ref="C5:C6"/>
    <mergeCell ref="D5:D6"/>
    <mergeCell ref="A4:Y4"/>
    <mergeCell ref="E5:E6"/>
    <mergeCell ref="A159:A171"/>
    <mergeCell ref="A144:A156"/>
    <mergeCell ref="C159:C171"/>
    <mergeCell ref="D78:D88"/>
    <mergeCell ref="D122:D132"/>
    <mergeCell ref="D144:D156"/>
    <mergeCell ref="D111:D121"/>
    <mergeCell ref="A89:A99"/>
    <mergeCell ref="C89:C99"/>
    <mergeCell ref="A78:A88"/>
    <mergeCell ref="A122:A132"/>
    <mergeCell ref="A100:A110"/>
    <mergeCell ref="C133:C143"/>
    <mergeCell ref="C122:C132"/>
    <mergeCell ref="A133:A143"/>
    <mergeCell ref="A111:A121"/>
  </mergeCells>
  <phoneticPr fontId="11" type="noConversion"/>
  <pageMargins left="0.39370078740157483" right="0.23622047244094491" top="0.39370078740157483" bottom="0.31496062992125984" header="0.47244094488188981" footer="0.27559055118110237"/>
  <pageSetup paperSize="9" fitToHeight="10" orientation="landscape" r:id="rId1"/>
  <headerFooter alignWithMargins="0"/>
  <rowBreaks count="1" manualBreakCount="1">
    <brk id="4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A487"/>
  <sheetViews>
    <sheetView zoomScale="120" zoomScaleNormal="120" zoomScaleSheetLayoutView="100" workbookViewId="0">
      <pane xSplit="6" ySplit="2" topLeftCell="G418" activePane="bottomRight" state="frozen"/>
      <selection pane="topRight" activeCell="G1" sqref="G1"/>
      <selection pane="bottomLeft" activeCell="A3" sqref="A3"/>
      <selection pane="bottomRight" activeCell="B313" sqref="A313:XFD313"/>
    </sheetView>
  </sheetViews>
  <sheetFormatPr defaultRowHeight="12.75"/>
  <cols>
    <col min="1" max="1" width="6.5703125" style="129" customWidth="1"/>
    <col min="2" max="2" width="48.85546875" style="129" customWidth="1"/>
    <col min="3" max="3" width="5.28515625" style="129" hidden="1" customWidth="1"/>
    <col min="4" max="4" width="14.28515625" style="129" hidden="1" customWidth="1"/>
    <col min="5" max="5" width="6.42578125" style="129" hidden="1" customWidth="1"/>
    <col min="6" max="6" width="6.28515625" style="129" hidden="1" customWidth="1"/>
    <col min="7" max="7" width="12.42578125" style="130" customWidth="1"/>
    <col min="8" max="8" width="11.42578125" style="130" hidden="1" customWidth="1"/>
    <col min="9" max="9" width="13" style="130" hidden="1" customWidth="1"/>
    <col min="10" max="10" width="13.42578125" style="130" hidden="1" customWidth="1"/>
    <col min="11" max="11" width="15.140625" style="130" hidden="1" customWidth="1"/>
    <col min="12" max="13" width="14.7109375" style="130" hidden="1" customWidth="1"/>
    <col min="14" max="14" width="11.28515625" style="130" hidden="1" customWidth="1"/>
    <col min="15" max="15" width="13.42578125" style="130" hidden="1" customWidth="1"/>
    <col min="16" max="19" width="14.7109375" style="130" customWidth="1"/>
    <col min="20" max="20" width="11.85546875" style="130" hidden="1" customWidth="1"/>
    <col min="21" max="21" width="15.85546875" style="130" hidden="1" customWidth="1"/>
    <col min="22" max="22" width="12" style="130" hidden="1" customWidth="1"/>
    <col min="23" max="23" width="13.85546875" style="130" hidden="1" customWidth="1"/>
    <col min="24" max="24" width="8.85546875" style="130" hidden="1" customWidth="1"/>
    <col min="25" max="25" width="10" style="130" hidden="1" customWidth="1"/>
    <col min="26" max="26" width="14.5703125" style="129" customWidth="1"/>
    <col min="27" max="27" width="11.85546875" style="129" bestFit="1" customWidth="1"/>
    <col min="28" max="16384" width="9.140625" style="129"/>
  </cols>
  <sheetData>
    <row r="1" spans="1:26" ht="35.25" customHeight="1">
      <c r="A1" s="294" t="s">
        <v>16</v>
      </c>
      <c r="B1" s="294" t="s">
        <v>11</v>
      </c>
      <c r="C1" s="294" t="s">
        <v>34</v>
      </c>
      <c r="D1" s="294" t="s">
        <v>35</v>
      </c>
      <c r="E1" s="294" t="s">
        <v>36</v>
      </c>
      <c r="F1" s="294" t="s">
        <v>44</v>
      </c>
      <c r="G1" s="331" t="s">
        <v>150</v>
      </c>
      <c r="H1" s="426" t="s">
        <v>147</v>
      </c>
      <c r="I1" s="427"/>
      <c r="J1" s="427"/>
      <c r="K1" s="428"/>
      <c r="L1" s="344" t="s">
        <v>203</v>
      </c>
      <c r="M1" s="345"/>
      <c r="N1" s="345"/>
      <c r="O1" s="346"/>
      <c r="P1" s="466" t="s">
        <v>234</v>
      </c>
      <c r="Q1" s="467"/>
      <c r="R1" s="467"/>
      <c r="S1" s="468"/>
      <c r="T1" s="463" t="s">
        <v>235</v>
      </c>
      <c r="U1" s="464"/>
      <c r="V1" s="464"/>
      <c r="W1" s="465"/>
      <c r="X1" s="141"/>
      <c r="Y1" s="141"/>
      <c r="Z1" s="294" t="s">
        <v>24</v>
      </c>
    </row>
    <row r="2" spans="1:26" ht="71.25" customHeight="1">
      <c r="A2" s="295"/>
      <c r="B2" s="295"/>
      <c r="C2" s="295"/>
      <c r="D2" s="295"/>
      <c r="E2" s="394"/>
      <c r="F2" s="394"/>
      <c r="G2" s="394"/>
      <c r="H2" s="79" t="s">
        <v>148</v>
      </c>
      <c r="I2" s="79" t="s">
        <v>149</v>
      </c>
      <c r="J2" s="79" t="s">
        <v>201</v>
      </c>
      <c r="K2" s="79" t="s">
        <v>184</v>
      </c>
      <c r="L2" s="79" t="s">
        <v>210</v>
      </c>
      <c r="M2" s="240" t="s">
        <v>149</v>
      </c>
      <c r="N2" s="79" t="s">
        <v>201</v>
      </c>
      <c r="O2" s="79" t="s">
        <v>184</v>
      </c>
      <c r="P2" s="79" t="s">
        <v>210</v>
      </c>
      <c r="Q2" s="267" t="s">
        <v>149</v>
      </c>
      <c r="R2" s="79" t="s">
        <v>201</v>
      </c>
      <c r="S2" s="79" t="s">
        <v>184</v>
      </c>
      <c r="T2" s="79" t="s">
        <v>148</v>
      </c>
      <c r="U2" s="79" t="s">
        <v>149</v>
      </c>
      <c r="V2" s="79" t="s">
        <v>201</v>
      </c>
      <c r="W2" s="79" t="s">
        <v>184</v>
      </c>
      <c r="X2" s="10">
        <v>2012</v>
      </c>
      <c r="Y2" s="10">
        <v>2013</v>
      </c>
      <c r="Z2" s="295"/>
    </row>
    <row r="3" spans="1:26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3</v>
      </c>
      <c r="H3" s="11">
        <v>4</v>
      </c>
      <c r="I3" s="11">
        <v>5</v>
      </c>
      <c r="J3" s="11">
        <v>6</v>
      </c>
      <c r="K3" s="11">
        <v>7</v>
      </c>
      <c r="L3" s="11">
        <v>3</v>
      </c>
      <c r="M3" s="11">
        <v>4</v>
      </c>
      <c r="N3" s="11">
        <v>5</v>
      </c>
      <c r="O3" s="11">
        <v>6</v>
      </c>
      <c r="P3" s="11">
        <v>3</v>
      </c>
      <c r="Q3" s="11">
        <v>4</v>
      </c>
      <c r="R3" s="11">
        <v>5</v>
      </c>
      <c r="S3" s="11">
        <v>6</v>
      </c>
      <c r="T3" s="11"/>
      <c r="U3" s="11"/>
      <c r="V3" s="11"/>
      <c r="W3" s="11"/>
      <c r="X3" s="11">
        <v>9</v>
      </c>
      <c r="Y3" s="11">
        <v>10</v>
      </c>
      <c r="Z3" s="11">
        <v>11</v>
      </c>
    </row>
    <row r="4" spans="1:26" ht="38.25" customHeight="1">
      <c r="A4" s="38">
        <v>2</v>
      </c>
      <c r="B4" s="380" t="s">
        <v>69</v>
      </c>
      <c r="C4" s="421"/>
      <c r="D4" s="421"/>
      <c r="E4" s="421"/>
      <c r="F4" s="421"/>
      <c r="G4" s="422"/>
      <c r="H4" s="12"/>
      <c r="I4" s="12"/>
      <c r="J4" s="12"/>
      <c r="K4" s="12"/>
      <c r="L4" s="194"/>
      <c r="M4" s="12"/>
      <c r="N4" s="12"/>
      <c r="O4" s="12"/>
      <c r="P4" s="194"/>
      <c r="Q4" s="12"/>
      <c r="R4" s="12"/>
      <c r="S4" s="12"/>
      <c r="T4" s="12"/>
      <c r="U4" s="12"/>
      <c r="V4" s="12"/>
      <c r="W4" s="12"/>
      <c r="X4" s="12"/>
      <c r="Y4" s="12"/>
      <c r="Z4" s="39"/>
    </row>
    <row r="5" spans="1:26" ht="14.25">
      <c r="A5" s="38">
        <v>2.1</v>
      </c>
      <c r="B5" s="80" t="s">
        <v>62</v>
      </c>
      <c r="C5" s="60"/>
      <c r="D5" s="60"/>
      <c r="E5" s="61"/>
      <c r="F5" s="61"/>
      <c r="G5" s="6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39"/>
    </row>
    <row r="6" spans="1:26" ht="27" customHeight="1">
      <c r="A6" s="313" t="s">
        <v>70</v>
      </c>
      <c r="B6" s="16" t="s">
        <v>105</v>
      </c>
      <c r="C6" s="337" t="s">
        <v>43</v>
      </c>
      <c r="D6" s="334" t="s">
        <v>47</v>
      </c>
      <c r="E6" s="331">
        <v>60</v>
      </c>
      <c r="F6" s="294" t="s">
        <v>17</v>
      </c>
      <c r="G6" s="25">
        <f t="shared" ref="G6:O6" si="0">G7+G19+G21+G29+G30</f>
        <v>303729.7</v>
      </c>
      <c r="H6" s="25">
        <f t="shared" si="0"/>
        <v>294729.7</v>
      </c>
      <c r="I6" s="25">
        <f t="shared" si="0"/>
        <v>204290.91099999999</v>
      </c>
      <c r="J6" s="25">
        <f t="shared" si="0"/>
        <v>223224.26300000001</v>
      </c>
      <c r="K6" s="25">
        <f t="shared" si="0"/>
        <v>223224.26300000001</v>
      </c>
      <c r="L6" s="25">
        <f t="shared" si="0"/>
        <v>9000</v>
      </c>
      <c r="M6" s="25">
        <f t="shared" si="0"/>
        <v>45309.467000000004</v>
      </c>
      <c r="N6" s="25">
        <f t="shared" si="0"/>
        <v>47394.595000000001</v>
      </c>
      <c r="O6" s="25">
        <f t="shared" si="0"/>
        <v>57589.502000000008</v>
      </c>
      <c r="P6" s="25">
        <f t="shared" ref="P6:S6" si="1">P7+P19+P21+P29+P30</f>
        <v>0</v>
      </c>
      <c r="Q6" s="25">
        <f t="shared" si="1"/>
        <v>36007.307000000001</v>
      </c>
      <c r="R6" s="25">
        <f t="shared" si="1"/>
        <v>68436.358000000007</v>
      </c>
      <c r="S6" s="25">
        <f t="shared" si="1"/>
        <v>82540.888000000006</v>
      </c>
      <c r="T6" s="25">
        <f>H6+L6</f>
        <v>303729.7</v>
      </c>
      <c r="U6" s="25">
        <f>I6+M6+Q6</f>
        <v>285607.685</v>
      </c>
      <c r="V6" s="25">
        <f t="shared" ref="V6:W7" si="2">J6+N6+R6</f>
        <v>339055.21600000001</v>
      </c>
      <c r="W6" s="25">
        <f t="shared" si="2"/>
        <v>363354.65300000005</v>
      </c>
      <c r="X6" s="140"/>
      <c r="Y6" s="140"/>
      <c r="Z6" s="423"/>
    </row>
    <row r="7" spans="1:26">
      <c r="A7" s="314"/>
      <c r="B7" s="14" t="s">
        <v>129</v>
      </c>
      <c r="C7" s="338"/>
      <c r="D7" s="335"/>
      <c r="E7" s="332"/>
      <c r="F7" s="352"/>
      <c r="G7" s="323">
        <v>15339.5</v>
      </c>
      <c r="H7" s="323">
        <v>6339.5</v>
      </c>
      <c r="I7" s="387">
        <f>SUM(I9:I17)</f>
        <v>7466.7139999999999</v>
      </c>
      <c r="J7" s="387">
        <f>SUM(J9:J17)</f>
        <v>1992.6610000000001</v>
      </c>
      <c r="K7" s="387">
        <f>SUM(K9:K17)</f>
        <v>1992.6610000000001</v>
      </c>
      <c r="L7" s="323">
        <v>9000</v>
      </c>
      <c r="M7" s="387">
        <f>SUM(M9:M17)</f>
        <v>3601.308</v>
      </c>
      <c r="N7" s="387">
        <f>SUM(N9:N17)</f>
        <v>30093.835999999999</v>
      </c>
      <c r="O7" s="387">
        <f>SUM(O9:O17)</f>
        <v>40288.74700000001</v>
      </c>
      <c r="P7" s="323">
        <v>0</v>
      </c>
      <c r="Q7" s="387">
        <f>SUM(Q9:Q18)</f>
        <v>2498.2290000000003</v>
      </c>
      <c r="R7" s="387">
        <f>SUM(R9:R18)</f>
        <v>34927.281999999999</v>
      </c>
      <c r="S7" s="387">
        <f>SUM(S9:S18)</f>
        <v>49031.811999999998</v>
      </c>
      <c r="T7" s="323">
        <f t="shared" ref="T7:U53" si="3">H7+L7</f>
        <v>15339.5</v>
      </c>
      <c r="U7" s="323">
        <f>I7+M7+Q7</f>
        <v>13566.251</v>
      </c>
      <c r="V7" s="323">
        <f t="shared" si="2"/>
        <v>67013.778999999995</v>
      </c>
      <c r="W7" s="323">
        <f t="shared" si="2"/>
        <v>91313.22</v>
      </c>
      <c r="X7" s="387">
        <f>SUM(X9:X17)</f>
        <v>299.077</v>
      </c>
      <c r="Y7" s="387">
        <f>SUM(Y9:Y17)</f>
        <v>1992.6610000000001</v>
      </c>
      <c r="Z7" s="424"/>
    </row>
    <row r="8" spans="1:26" ht="15" customHeight="1">
      <c r="A8" s="314"/>
      <c r="B8" s="40" t="s">
        <v>27</v>
      </c>
      <c r="C8" s="338"/>
      <c r="D8" s="335"/>
      <c r="E8" s="332"/>
      <c r="F8" s="352"/>
      <c r="G8" s="394"/>
      <c r="H8" s="394"/>
      <c r="I8" s="388"/>
      <c r="J8" s="388"/>
      <c r="K8" s="388"/>
      <c r="L8" s="324"/>
      <c r="M8" s="388"/>
      <c r="N8" s="388"/>
      <c r="O8" s="388"/>
      <c r="P8" s="324"/>
      <c r="Q8" s="388"/>
      <c r="R8" s="388"/>
      <c r="S8" s="388"/>
      <c r="T8" s="324">
        <f t="shared" si="3"/>
        <v>0</v>
      </c>
      <c r="U8" s="324">
        <f t="shared" ref="U8:W9" si="4">I8+M8</f>
        <v>0</v>
      </c>
      <c r="V8" s="324">
        <f t="shared" ref="V8" si="5">J8+N8</f>
        <v>0</v>
      </c>
      <c r="W8" s="324">
        <f t="shared" ref="W8" si="6">K8+O8</f>
        <v>0</v>
      </c>
      <c r="X8" s="388"/>
      <c r="Y8" s="388"/>
      <c r="Z8" s="424"/>
    </row>
    <row r="9" spans="1:26" s="169" customFormat="1" hidden="1">
      <c r="A9" s="314"/>
      <c r="B9" s="115" t="s">
        <v>225</v>
      </c>
      <c r="C9" s="338"/>
      <c r="D9" s="335"/>
      <c r="E9" s="332"/>
      <c r="F9" s="352"/>
      <c r="G9" s="168"/>
      <c r="H9" s="168"/>
      <c r="I9" s="119">
        <v>3.76</v>
      </c>
      <c r="J9" s="84">
        <v>3.7570000000000001</v>
      </c>
      <c r="K9" s="84">
        <v>3.7570000000000001</v>
      </c>
      <c r="L9" s="152"/>
      <c r="M9" s="152">
        <v>31.835000000000001</v>
      </c>
      <c r="N9" s="152">
        <v>31.835000000000001</v>
      </c>
      <c r="O9" s="212">
        <v>31.835000000000001</v>
      </c>
      <c r="P9" s="152"/>
      <c r="Q9" s="261"/>
      <c r="R9" s="152"/>
      <c r="S9" s="212"/>
      <c r="T9" s="204">
        <f t="shared" si="3"/>
        <v>0</v>
      </c>
      <c r="U9" s="204">
        <f>I9+M9+Q9</f>
        <v>35.594999999999999</v>
      </c>
      <c r="V9" s="204">
        <f t="shared" si="4"/>
        <v>35.591999999999999</v>
      </c>
      <c r="W9" s="204">
        <f t="shared" si="4"/>
        <v>35.591999999999999</v>
      </c>
      <c r="X9" s="152"/>
      <c r="Y9" s="86">
        <v>3.7570000000000001</v>
      </c>
      <c r="Z9" s="424"/>
    </row>
    <row r="10" spans="1:26" s="169" customFormat="1" hidden="1">
      <c r="A10" s="314"/>
      <c r="B10" s="75" t="s">
        <v>157</v>
      </c>
      <c r="C10" s="338"/>
      <c r="D10" s="335"/>
      <c r="E10" s="332"/>
      <c r="F10" s="352"/>
      <c r="G10" s="168"/>
      <c r="H10" s="168"/>
      <c r="I10" s="119"/>
      <c r="J10" s="84"/>
      <c r="K10" s="84"/>
      <c r="L10" s="152"/>
      <c r="M10" s="152"/>
      <c r="N10" s="152">
        <v>2.7519999999999998</v>
      </c>
      <c r="O10" s="84">
        <v>2.7519999999999998</v>
      </c>
      <c r="P10" s="152"/>
      <c r="Q10" s="261">
        <v>2.7519999999999998</v>
      </c>
      <c r="R10" s="152"/>
      <c r="S10" s="84"/>
      <c r="T10" s="204"/>
      <c r="U10" s="204">
        <f t="shared" ref="U10:U17" si="7">I10+M10+Q10</f>
        <v>2.7519999999999998</v>
      </c>
      <c r="V10" s="204"/>
      <c r="W10" s="204"/>
      <c r="X10" s="152"/>
      <c r="Y10" s="86"/>
      <c r="Z10" s="424"/>
    </row>
    <row r="11" spans="1:26" s="169" customFormat="1" hidden="1">
      <c r="A11" s="314"/>
      <c r="B11" s="115" t="s">
        <v>141</v>
      </c>
      <c r="C11" s="338"/>
      <c r="D11" s="335"/>
      <c r="E11" s="332"/>
      <c r="F11" s="352"/>
      <c r="G11" s="168"/>
      <c r="H11" s="168"/>
      <c r="I11" s="119">
        <f>-272.986+271.041+59.61+280.526+44.442+46.583+50.87+113.255+114.822</f>
        <v>708.16300000000001</v>
      </c>
      <c r="J11" s="84"/>
      <c r="K11" s="84"/>
      <c r="L11" s="152"/>
      <c r="M11" s="152"/>
      <c r="N11" s="152"/>
      <c r="O11" s="84"/>
      <c r="P11" s="152"/>
      <c r="Q11" s="261"/>
      <c r="R11" s="152"/>
      <c r="S11" s="84"/>
      <c r="T11" s="204">
        <f t="shared" si="3"/>
        <v>0</v>
      </c>
      <c r="U11" s="204">
        <f t="shared" si="7"/>
        <v>708.16300000000001</v>
      </c>
      <c r="V11" s="204">
        <f t="shared" ref="V11:W14" si="8">J11+N11</f>
        <v>0</v>
      </c>
      <c r="W11" s="204">
        <f t="shared" si="8"/>
        <v>0</v>
      </c>
      <c r="X11" s="152"/>
      <c r="Y11" s="86"/>
      <c r="Z11" s="424"/>
    </row>
    <row r="12" spans="1:26" s="169" customFormat="1" hidden="1">
      <c r="A12" s="314"/>
      <c r="B12" s="115" t="s">
        <v>152</v>
      </c>
      <c r="C12" s="338"/>
      <c r="D12" s="335"/>
      <c r="E12" s="332"/>
      <c r="F12" s="352"/>
      <c r="G12" s="168"/>
      <c r="H12" s="168"/>
      <c r="I12" s="119">
        <f>-231.706+170.754+37.554+186.773+30.332+31.841+34.838+77.563+78.635</f>
        <v>416.584</v>
      </c>
      <c r="J12" s="84"/>
      <c r="K12" s="84"/>
      <c r="L12" s="152"/>
      <c r="M12" s="152"/>
      <c r="N12" s="219">
        <v>117.81100000000001</v>
      </c>
      <c r="O12" s="84">
        <v>117.81100000000001</v>
      </c>
      <c r="P12" s="152"/>
      <c r="Q12" s="261"/>
      <c r="R12" s="219"/>
      <c r="S12" s="84"/>
      <c r="T12" s="204">
        <f t="shared" si="3"/>
        <v>0</v>
      </c>
      <c r="U12" s="204">
        <f t="shared" si="7"/>
        <v>416.584</v>
      </c>
      <c r="V12" s="204">
        <f t="shared" si="8"/>
        <v>117.81100000000001</v>
      </c>
      <c r="W12" s="204">
        <f t="shared" si="8"/>
        <v>117.81100000000001</v>
      </c>
      <c r="X12" s="152"/>
      <c r="Y12" s="86"/>
      <c r="Z12" s="424"/>
    </row>
    <row r="13" spans="1:26" s="169" customFormat="1" hidden="1">
      <c r="A13" s="314"/>
      <c r="B13" s="115" t="s">
        <v>153</v>
      </c>
      <c r="C13" s="338"/>
      <c r="D13" s="335"/>
      <c r="E13" s="332"/>
      <c r="F13" s="352"/>
      <c r="G13" s="168"/>
      <c r="H13" s="168"/>
      <c r="I13" s="119">
        <f>57.203+12.055+12.458+12.787+11.067+12.253+11.471+12.098+11.711+12.916+28.756+29.154</f>
        <v>223.92900000000003</v>
      </c>
      <c r="J13" s="84"/>
      <c r="K13" s="84"/>
      <c r="L13" s="152"/>
      <c r="M13" s="152"/>
      <c r="N13" s="226">
        <v>73.058999999999997</v>
      </c>
      <c r="O13" s="84">
        <v>73.058999999999997</v>
      </c>
      <c r="P13" s="152"/>
      <c r="Q13" s="261"/>
      <c r="R13" s="226"/>
      <c r="S13" s="84"/>
      <c r="T13" s="204">
        <f t="shared" si="3"/>
        <v>0</v>
      </c>
      <c r="U13" s="204">
        <f t="shared" si="7"/>
        <v>223.92900000000003</v>
      </c>
      <c r="V13" s="204">
        <f t="shared" si="8"/>
        <v>73.058999999999997</v>
      </c>
      <c r="W13" s="204">
        <f t="shared" si="8"/>
        <v>73.058999999999997</v>
      </c>
      <c r="X13" s="152"/>
      <c r="Y13" s="86"/>
      <c r="Z13" s="424"/>
    </row>
    <row r="14" spans="1:26" s="169" customFormat="1" hidden="1">
      <c r="A14" s="314"/>
      <c r="B14" s="115" t="s">
        <v>154</v>
      </c>
      <c r="C14" s="338"/>
      <c r="D14" s="335"/>
      <c r="E14" s="332"/>
      <c r="F14" s="352"/>
      <c r="G14" s="168"/>
      <c r="H14" s="168"/>
      <c r="I14" s="119">
        <f>1310.314+2291.932+613.078+6.213-96.159</f>
        <v>4125.3780000000006</v>
      </c>
      <c r="J14" s="84"/>
      <c r="K14" s="84"/>
      <c r="L14" s="152"/>
      <c r="M14" s="152"/>
      <c r="N14" s="219">
        <f>252.919+1059.163-1059.163+684.315+1450.48</f>
        <v>2387.7139999999999</v>
      </c>
      <c r="O14" s="84">
        <f>252.919+1059.163-1059.163+684.315+1450.48</f>
        <v>2387.7139999999999</v>
      </c>
      <c r="P14" s="152"/>
      <c r="Q14" s="261"/>
      <c r="R14" s="84">
        <f>606.711+521.229+1174.613</f>
        <v>2302.5529999999999</v>
      </c>
      <c r="S14" s="84">
        <f>606.711+521.229+1174.613</f>
        <v>2302.5529999999999</v>
      </c>
      <c r="T14" s="204">
        <f t="shared" si="3"/>
        <v>0</v>
      </c>
      <c r="U14" s="204">
        <f t="shared" si="7"/>
        <v>4125.3780000000006</v>
      </c>
      <c r="V14" s="204">
        <f t="shared" si="8"/>
        <v>2387.7139999999999</v>
      </c>
      <c r="W14" s="204">
        <f t="shared" si="8"/>
        <v>2387.7139999999999</v>
      </c>
      <c r="X14" s="152"/>
      <c r="Y14" s="86"/>
      <c r="Z14" s="424"/>
    </row>
    <row r="15" spans="1:26" s="169" customFormat="1" hidden="1">
      <c r="A15" s="314"/>
      <c r="B15" s="115" t="s">
        <v>204</v>
      </c>
      <c r="C15" s="338"/>
      <c r="D15" s="335"/>
      <c r="E15" s="332"/>
      <c r="F15" s="352"/>
      <c r="G15" s="168"/>
      <c r="H15" s="168"/>
      <c r="I15" s="119"/>
      <c r="J15" s="84"/>
      <c r="K15" s="84"/>
      <c r="L15" s="152"/>
      <c r="M15" s="152">
        <f>248.165+74.196+105.329+241.046+220.149+215.927+209.207+238.917+213.351+292.877+247.231+58.3+214.34+224.919+218.823+217.137</f>
        <v>3239.9139999999998</v>
      </c>
      <c r="N15" s="219">
        <f>9249.338+9584.217+8317.55</f>
        <v>27151.105</v>
      </c>
      <c r="O15" s="84">
        <f>9249.338+15309.198-15309.198+9891.128+18205.55</f>
        <v>37346.016000000003</v>
      </c>
      <c r="P15" s="152"/>
      <c r="Q15" s="261">
        <f>222.581+171.999+178.835+174.028+181.746+182.118+189.23+178.998+150.202+153.847+154.133+157.052</f>
        <v>2094.7690000000002</v>
      </c>
      <c r="R15" s="84">
        <f>4814.832+8006.09+11440.855+2578.626+5383.618</f>
        <v>32224.021000000001</v>
      </c>
      <c r="S15" s="84">
        <f>12820.922+14019.481+19488.148</f>
        <v>46328.550999999999</v>
      </c>
      <c r="T15" s="204"/>
      <c r="U15" s="204">
        <f>I15+M15+Q15</f>
        <v>5334.683</v>
      </c>
      <c r="V15" s="204"/>
      <c r="W15" s="204"/>
      <c r="X15" s="152"/>
      <c r="Y15" s="86"/>
      <c r="Z15" s="424"/>
    </row>
    <row r="16" spans="1:26" s="169" customFormat="1" hidden="1">
      <c r="A16" s="314"/>
      <c r="B16" s="115" t="s">
        <v>155</v>
      </c>
      <c r="C16" s="338"/>
      <c r="D16" s="335"/>
      <c r="E16" s="332"/>
      <c r="F16" s="352"/>
      <c r="G16" s="168"/>
      <c r="H16" s="168"/>
      <c r="I16" s="119">
        <f>31.48+92.232+175.361+114.844+784.915+350.216+439.852</f>
        <v>1988.8999999999996</v>
      </c>
      <c r="J16" s="86">
        <f>31.484+92.232+175.361+1689.827</f>
        <v>1988.904</v>
      </c>
      <c r="K16" s="86">
        <f>31.484+92.232+175.361+1689.827</f>
        <v>1988.904</v>
      </c>
      <c r="L16" s="86"/>
      <c r="M16" s="86">
        <f>110.721+55.902+50.66+18.699+15.254+51.076+14.95+7.897</f>
        <v>325.15899999999999</v>
      </c>
      <c r="N16" s="86">
        <f>110.721+55.902+18.699+51.077+15.254+50.66+14.95+7.897</f>
        <v>325.15999999999997</v>
      </c>
      <c r="O16" s="86">
        <f>110.721+55.902+18.699+51.077+15.254+50.66+14.95+7.897</f>
        <v>325.15999999999997</v>
      </c>
      <c r="P16" s="86"/>
      <c r="Q16" s="262">
        <v>50.707999999999998</v>
      </c>
      <c r="R16" s="86">
        <v>50.707999999999998</v>
      </c>
      <c r="S16" s="86">
        <v>50.707999999999998</v>
      </c>
      <c r="T16" s="204">
        <f t="shared" si="3"/>
        <v>0</v>
      </c>
      <c r="U16" s="204">
        <f t="shared" si="7"/>
        <v>2364.7669999999998</v>
      </c>
      <c r="V16" s="204">
        <f t="shared" ref="V16:W23" si="9">J16+N16</f>
        <v>2314.0639999999999</v>
      </c>
      <c r="W16" s="204">
        <f t="shared" si="9"/>
        <v>2314.0639999999999</v>
      </c>
      <c r="X16" s="86">
        <f>31.484+92.232+175.361</f>
        <v>299.077</v>
      </c>
      <c r="Y16" s="86">
        <f>31.484+92.232+175.361+1689.827</f>
        <v>1988.904</v>
      </c>
      <c r="Z16" s="424"/>
    </row>
    <row r="17" spans="1:26" s="169" customFormat="1" hidden="1">
      <c r="A17" s="314"/>
      <c r="B17" s="115" t="s">
        <v>206</v>
      </c>
      <c r="C17" s="338"/>
      <c r="D17" s="335"/>
      <c r="E17" s="332"/>
      <c r="F17" s="352"/>
      <c r="G17" s="168"/>
      <c r="H17" s="168"/>
      <c r="I17" s="117"/>
      <c r="J17" s="117"/>
      <c r="K17" s="117"/>
      <c r="L17" s="117"/>
      <c r="M17" s="117">
        <f>4.4</f>
        <v>4.4000000000000004</v>
      </c>
      <c r="N17" s="117">
        <v>4.4000000000000004</v>
      </c>
      <c r="O17" s="117">
        <v>4.4000000000000004</v>
      </c>
      <c r="P17" s="117"/>
      <c r="Q17" s="119"/>
      <c r="R17" s="117"/>
      <c r="S17" s="117"/>
      <c r="T17" s="204">
        <f t="shared" si="3"/>
        <v>0</v>
      </c>
      <c r="U17" s="204">
        <f t="shared" si="7"/>
        <v>4.4000000000000004</v>
      </c>
      <c r="V17" s="204">
        <f t="shared" si="9"/>
        <v>4.4000000000000004</v>
      </c>
      <c r="W17" s="204">
        <f t="shared" si="9"/>
        <v>4.4000000000000004</v>
      </c>
      <c r="X17" s="117"/>
      <c r="Y17" s="117"/>
      <c r="Z17" s="424"/>
    </row>
    <row r="18" spans="1:26" s="169" customFormat="1" hidden="1">
      <c r="A18" s="314"/>
      <c r="B18" s="115" t="s">
        <v>248</v>
      </c>
      <c r="C18" s="338"/>
      <c r="D18" s="335"/>
      <c r="E18" s="332"/>
      <c r="F18" s="352"/>
      <c r="G18" s="168"/>
      <c r="H18" s="168"/>
      <c r="I18" s="117"/>
      <c r="J18" s="117"/>
      <c r="K18" s="117"/>
      <c r="L18" s="117"/>
      <c r="M18" s="117"/>
      <c r="N18" s="117"/>
      <c r="O18" s="117"/>
      <c r="P18" s="117"/>
      <c r="Q18" s="119">
        <v>350</v>
      </c>
      <c r="R18" s="117">
        <f>104.68+245.32</f>
        <v>350</v>
      </c>
      <c r="S18" s="117">
        <f>104.68+245.32</f>
        <v>350</v>
      </c>
      <c r="T18" s="204"/>
      <c r="U18" s="204"/>
      <c r="V18" s="204"/>
      <c r="W18" s="204"/>
      <c r="X18" s="117"/>
      <c r="Y18" s="117"/>
      <c r="Z18" s="424"/>
    </row>
    <row r="19" spans="1:26">
      <c r="A19" s="314"/>
      <c r="B19" s="23" t="s">
        <v>29</v>
      </c>
      <c r="C19" s="338"/>
      <c r="D19" s="335"/>
      <c r="E19" s="332"/>
      <c r="F19" s="352"/>
      <c r="G19" s="140">
        <f>SUM(G20)</f>
        <v>0</v>
      </c>
      <c r="H19" s="200">
        <f t="shared" ref="H19:S19" si="10">SUM(H20)</f>
        <v>0</v>
      </c>
      <c r="I19" s="200">
        <f t="shared" si="10"/>
        <v>0</v>
      </c>
      <c r="J19" s="200">
        <f t="shared" si="10"/>
        <v>0</v>
      </c>
      <c r="K19" s="200">
        <f t="shared" si="10"/>
        <v>0</v>
      </c>
      <c r="L19" s="200">
        <f t="shared" si="10"/>
        <v>0</v>
      </c>
      <c r="M19" s="200">
        <f t="shared" si="10"/>
        <v>0</v>
      </c>
      <c r="N19" s="200">
        <f t="shared" si="10"/>
        <v>0</v>
      </c>
      <c r="O19" s="208">
        <f t="shared" si="10"/>
        <v>0</v>
      </c>
      <c r="P19" s="254">
        <f t="shared" si="10"/>
        <v>0</v>
      </c>
      <c r="Q19" s="254">
        <f t="shared" si="10"/>
        <v>0</v>
      </c>
      <c r="R19" s="254">
        <f t="shared" si="10"/>
        <v>0</v>
      </c>
      <c r="S19" s="254">
        <f t="shared" si="10"/>
        <v>0</v>
      </c>
      <c r="T19" s="25">
        <f t="shared" si="3"/>
        <v>0</v>
      </c>
      <c r="U19" s="25">
        <f>I19+M19+Q19</f>
        <v>0</v>
      </c>
      <c r="V19" s="25">
        <f t="shared" si="9"/>
        <v>0</v>
      </c>
      <c r="W19" s="25">
        <f t="shared" si="9"/>
        <v>0</v>
      </c>
      <c r="X19" s="140"/>
      <c r="Y19" s="140"/>
      <c r="Z19" s="424"/>
    </row>
    <row r="20" spans="1:26" s="203" customFormat="1" ht="13.5">
      <c r="A20" s="314"/>
      <c r="B20" s="201" t="s">
        <v>39</v>
      </c>
      <c r="C20" s="338"/>
      <c r="D20" s="335"/>
      <c r="E20" s="332"/>
      <c r="F20" s="352"/>
      <c r="G20" s="148">
        <f>SUM(H20:Y20)</f>
        <v>0</v>
      </c>
      <c r="H20" s="148"/>
      <c r="I20" s="145"/>
      <c r="J20" s="145"/>
      <c r="K20" s="145"/>
      <c r="L20" s="145"/>
      <c r="M20" s="145"/>
      <c r="N20" s="145"/>
      <c r="O20" s="207"/>
      <c r="P20" s="243"/>
      <c r="Q20" s="243"/>
      <c r="R20" s="243"/>
      <c r="S20" s="243"/>
      <c r="T20" s="202">
        <f t="shared" si="3"/>
        <v>0</v>
      </c>
      <c r="U20" s="202">
        <f t="shared" ref="U20" si="11">I20+M20</f>
        <v>0</v>
      </c>
      <c r="V20" s="202">
        <f t="shared" si="9"/>
        <v>0</v>
      </c>
      <c r="W20" s="202">
        <f t="shared" si="9"/>
        <v>0</v>
      </c>
      <c r="X20" s="145"/>
      <c r="Y20" s="145"/>
      <c r="Z20" s="424"/>
    </row>
    <row r="21" spans="1:26">
      <c r="A21" s="314"/>
      <c r="B21" s="23" t="s">
        <v>30</v>
      </c>
      <c r="C21" s="338"/>
      <c r="D21" s="335"/>
      <c r="E21" s="332"/>
      <c r="F21" s="352"/>
      <c r="G21" s="140">
        <f>SUM(G22:G26)</f>
        <v>288390.2</v>
      </c>
      <c r="H21" s="140">
        <f>SUM(H22:H26)</f>
        <v>288390.2</v>
      </c>
      <c r="I21" s="140">
        <f>I22+I24+I26</f>
        <v>196824.19699999999</v>
      </c>
      <c r="J21" s="140">
        <f>J22+J24+J26</f>
        <v>221231.60200000001</v>
      </c>
      <c r="K21" s="140">
        <f>K22+K24+K26</f>
        <v>221231.60200000001</v>
      </c>
      <c r="L21" s="150">
        <f t="shared" ref="L21:O21" si="12">L22+L24+L26</f>
        <v>0</v>
      </c>
      <c r="M21" s="150">
        <f t="shared" si="12"/>
        <v>41708.159000000007</v>
      </c>
      <c r="N21" s="200">
        <f t="shared" si="12"/>
        <v>17300.758999999998</v>
      </c>
      <c r="O21" s="208">
        <f t="shared" si="12"/>
        <v>17300.755000000001</v>
      </c>
      <c r="P21" s="254">
        <f t="shared" ref="P21:S21" si="13">P22+P24+P26</f>
        <v>0</v>
      </c>
      <c r="Q21" s="254">
        <f t="shared" si="13"/>
        <v>33509.078000000001</v>
      </c>
      <c r="R21" s="254">
        <f t="shared" si="13"/>
        <v>33509.076000000001</v>
      </c>
      <c r="S21" s="254">
        <f t="shared" si="13"/>
        <v>33509.076000000001</v>
      </c>
      <c r="T21" s="150">
        <f t="shared" si="3"/>
        <v>288390.2</v>
      </c>
      <c r="U21" s="150">
        <f t="shared" ref="U21:U28" si="14">I21+M21+Q21</f>
        <v>272041.43400000001</v>
      </c>
      <c r="V21" s="283">
        <f t="shared" ref="V21:V22" si="15">J21+N21+R21</f>
        <v>272041.43700000003</v>
      </c>
      <c r="W21" s="283">
        <f t="shared" ref="W21:W22" si="16">K21+O21+S21</f>
        <v>272041.43300000002</v>
      </c>
      <c r="X21" s="140">
        <f>X22+X24+X26</f>
        <v>0</v>
      </c>
      <c r="Y21" s="140">
        <f>Y22+Y24+Y26</f>
        <v>221231.60200000001</v>
      </c>
      <c r="Z21" s="424"/>
    </row>
    <row r="22" spans="1:26">
      <c r="A22" s="314"/>
      <c r="B22" s="41" t="s">
        <v>31</v>
      </c>
      <c r="C22" s="338"/>
      <c r="D22" s="335"/>
      <c r="E22" s="332"/>
      <c r="F22" s="352"/>
      <c r="G22" s="139">
        <f>232349+6600</f>
        <v>238949</v>
      </c>
      <c r="H22" s="139">
        <f>232349+6600</f>
        <v>238949</v>
      </c>
      <c r="I22" s="139">
        <f>SUM(I23)</f>
        <v>154093.06099999999</v>
      </c>
      <c r="J22" s="139">
        <f>SUM(J23)</f>
        <v>176078.77100000001</v>
      </c>
      <c r="K22" s="139">
        <f>SUM(K23)</f>
        <v>176078.77100000001</v>
      </c>
      <c r="L22" s="151">
        <f t="shared" ref="L22:S22" si="17">SUM(L23)</f>
        <v>0</v>
      </c>
      <c r="M22" s="151">
        <f t="shared" si="17"/>
        <v>35366.475000000006</v>
      </c>
      <c r="N22" s="198">
        <f t="shared" si="17"/>
        <v>13380.769</v>
      </c>
      <c r="O22" s="209">
        <f t="shared" si="17"/>
        <v>13380.769</v>
      </c>
      <c r="P22" s="253">
        <f t="shared" si="17"/>
        <v>0</v>
      </c>
      <c r="Q22" s="253">
        <f t="shared" si="17"/>
        <v>33509.078000000001</v>
      </c>
      <c r="R22" s="279">
        <f t="shared" si="17"/>
        <v>33509.076000000001</v>
      </c>
      <c r="S22" s="253">
        <f t="shared" si="17"/>
        <v>33509.076000000001</v>
      </c>
      <c r="T22" s="151">
        <f t="shared" si="3"/>
        <v>238949</v>
      </c>
      <c r="U22" s="151">
        <f t="shared" si="14"/>
        <v>222968.614</v>
      </c>
      <c r="V22" s="281">
        <f t="shared" si="15"/>
        <v>222968.61600000001</v>
      </c>
      <c r="W22" s="281">
        <f t="shared" si="16"/>
        <v>222968.61600000001</v>
      </c>
      <c r="X22" s="139">
        <f>SUM(X23)</f>
        <v>0</v>
      </c>
      <c r="Y22" s="139">
        <f>SUM(Y23)</f>
        <v>176078.77100000001</v>
      </c>
      <c r="Z22" s="424"/>
    </row>
    <row r="23" spans="1:26" hidden="1">
      <c r="A23" s="314"/>
      <c r="B23" s="87" t="s">
        <v>156</v>
      </c>
      <c r="C23" s="338"/>
      <c r="D23" s="335"/>
      <c r="E23" s="332"/>
      <c r="F23" s="352"/>
      <c r="G23" s="139"/>
      <c r="H23" s="139"/>
      <c r="I23" s="88">
        <f>3503.95+2653.66+5838.696+8868.28+5807.809 +17710.946+49290.855+60418.865</f>
        <v>154093.06099999999</v>
      </c>
      <c r="J23" s="89">
        <f>66000+1980+1523.948+2653.66+3869.15+442.392+6349.688+93259.933</f>
        <v>176078.77100000001</v>
      </c>
      <c r="K23" s="91">
        <f>66000+1980+1523.948+2653.66+3869.15+442.392+6349.688+93259.933</f>
        <v>176078.77100000001</v>
      </c>
      <c r="L23" s="91"/>
      <c r="M23" s="91">
        <f>10978.901+6472.207+5167.93+1331.218+1548.215+4311.737+261.973+2820.973+1377.654+672.129+423.538</f>
        <v>35366.475000000006</v>
      </c>
      <c r="N23" s="153">
        <f>1419.802+1331.218+761.739+4311.737+261.978+5294.295</f>
        <v>13380.769</v>
      </c>
      <c r="O23" s="91">
        <f>1419.802+1331.218+761.739+4311.737+261.978+5294.295</f>
        <v>13380.769</v>
      </c>
      <c r="P23" s="91"/>
      <c r="Q23" s="263">
        <f>1490.672+4464.537+4016.66+4051.909+6281.27+13204.03</f>
        <v>33509.078000000001</v>
      </c>
      <c r="R23" s="153">
        <f>1490.672+4464.537+27553.867</f>
        <v>33509.076000000001</v>
      </c>
      <c r="S23" s="91">
        <f>1490.672+4464.537+27553.867</f>
        <v>33509.076000000001</v>
      </c>
      <c r="T23" s="153">
        <f t="shared" si="3"/>
        <v>0</v>
      </c>
      <c r="U23" s="91">
        <f t="shared" si="14"/>
        <v>222968.614</v>
      </c>
      <c r="V23" s="153">
        <f t="shared" si="9"/>
        <v>189459.54</v>
      </c>
      <c r="W23" s="153">
        <f t="shared" si="9"/>
        <v>189459.54</v>
      </c>
      <c r="X23" s="90"/>
      <c r="Y23" s="91">
        <f>66000+1980+1523.948+2653.66+3869.15+442.392+6349.688+93259.933</f>
        <v>176078.77100000001</v>
      </c>
      <c r="Z23" s="424"/>
    </row>
    <row r="24" spans="1:26">
      <c r="A24" s="314"/>
      <c r="B24" s="41" t="s">
        <v>32</v>
      </c>
      <c r="C24" s="338"/>
      <c r="D24" s="335"/>
      <c r="E24" s="332"/>
      <c r="F24" s="352"/>
      <c r="G24" s="139">
        <f>9216.9+680</f>
        <v>9896.9</v>
      </c>
      <c r="H24" s="139">
        <f>9216.9+680</f>
        <v>9896.9</v>
      </c>
      <c r="I24" s="92">
        <f>SUM(I25)</f>
        <v>9896.905999999999</v>
      </c>
      <c r="J24" s="139">
        <f>SUM(J25)</f>
        <v>9896.91</v>
      </c>
      <c r="K24" s="139">
        <f>SUM(K25)</f>
        <v>9896.91</v>
      </c>
      <c r="L24" s="151">
        <f t="shared" ref="L24:S24" si="18">SUM(L25)</f>
        <v>0</v>
      </c>
      <c r="M24" s="151">
        <f t="shared" si="18"/>
        <v>4.0000000000000001E-3</v>
      </c>
      <c r="N24" s="198">
        <f t="shared" si="18"/>
        <v>0</v>
      </c>
      <c r="O24" s="209">
        <f t="shared" si="18"/>
        <v>0</v>
      </c>
      <c r="P24" s="253">
        <f t="shared" si="18"/>
        <v>0</v>
      </c>
      <c r="Q24" s="253">
        <f t="shared" si="18"/>
        <v>0</v>
      </c>
      <c r="R24" s="253">
        <f t="shared" si="18"/>
        <v>0</v>
      </c>
      <c r="S24" s="253">
        <f t="shared" si="18"/>
        <v>0</v>
      </c>
      <c r="T24" s="151">
        <f t="shared" si="3"/>
        <v>9896.9</v>
      </c>
      <c r="U24" s="258">
        <f t="shared" si="14"/>
        <v>9896.91</v>
      </c>
      <c r="V24" s="281">
        <f t="shared" ref="V24" si="19">J24+N24+R24</f>
        <v>9896.91</v>
      </c>
      <c r="W24" s="281">
        <f t="shared" ref="W24" si="20">K24+O24+S24</f>
        <v>9896.91</v>
      </c>
      <c r="X24" s="139">
        <f>SUM(X25)</f>
        <v>0</v>
      </c>
      <c r="Y24" s="139">
        <f>SUM(Y25)</f>
        <v>9896.91</v>
      </c>
      <c r="Z24" s="424"/>
    </row>
    <row r="25" spans="1:26" hidden="1">
      <c r="A25" s="314"/>
      <c r="B25" s="87" t="s">
        <v>156</v>
      </c>
      <c r="C25" s="338"/>
      <c r="D25" s="335"/>
      <c r="E25" s="332"/>
      <c r="F25" s="352"/>
      <c r="G25" s="139"/>
      <c r="H25" s="139"/>
      <c r="I25" s="88">
        <f>583.991+310.072+1478.046+967.968+2951.824+3605.005</f>
        <v>9896.905999999999</v>
      </c>
      <c r="J25" s="89">
        <f>2765.1+583.991+149.844+96.009+1034.632+5267.334</f>
        <v>9896.91</v>
      </c>
      <c r="K25" s="91">
        <f>2765.1+583.991+149.844+96.009+1034.632+5267.334</f>
        <v>9896.91</v>
      </c>
      <c r="L25" s="91"/>
      <c r="M25" s="91">
        <v>4.0000000000000001E-3</v>
      </c>
      <c r="N25" s="153">
        <v>0</v>
      </c>
      <c r="O25" s="91">
        <v>0</v>
      </c>
      <c r="P25" s="91"/>
      <c r="Q25" s="91"/>
      <c r="R25" s="153"/>
      <c r="S25" s="91"/>
      <c r="T25" s="153">
        <f t="shared" si="3"/>
        <v>0</v>
      </c>
      <c r="U25" s="91">
        <f t="shared" si="14"/>
        <v>9896.91</v>
      </c>
      <c r="V25" s="153">
        <f t="shared" ref="V25:V58" si="21">J25+N25</f>
        <v>9896.91</v>
      </c>
      <c r="W25" s="153">
        <f t="shared" ref="W25:W58" si="22">K25+O25</f>
        <v>9896.91</v>
      </c>
      <c r="X25" s="90"/>
      <c r="Y25" s="91">
        <f>2765.1+583.991+149.844+96.009+1034.632+5267.334</f>
        <v>9896.91</v>
      </c>
      <c r="Z25" s="424"/>
    </row>
    <row r="26" spans="1:26">
      <c r="A26" s="314"/>
      <c r="B26" s="41" t="s">
        <v>33</v>
      </c>
      <c r="C26" s="338"/>
      <c r="D26" s="335"/>
      <c r="E26" s="332"/>
      <c r="F26" s="352"/>
      <c r="G26" s="139">
        <f>36867.6+2676.7</f>
        <v>39544.299999999996</v>
      </c>
      <c r="H26" s="139">
        <f>36867.6+2676.7</f>
        <v>39544.299999999996</v>
      </c>
      <c r="I26" s="92">
        <f>SUM(I27)</f>
        <v>32834.229999999996</v>
      </c>
      <c r="J26" s="139">
        <f>SUM(J27:J28)</f>
        <v>35255.921000000002</v>
      </c>
      <c r="K26" s="139">
        <f t="shared" ref="K26:O26" si="23">SUM(K27:K28)</f>
        <v>35255.921000000002</v>
      </c>
      <c r="L26" s="151">
        <f t="shared" si="23"/>
        <v>0</v>
      </c>
      <c r="M26" s="151">
        <f t="shared" si="23"/>
        <v>6341.68</v>
      </c>
      <c r="N26" s="198">
        <f t="shared" si="23"/>
        <v>3919.99</v>
      </c>
      <c r="O26" s="209">
        <f t="shared" si="23"/>
        <v>3919.9859999999999</v>
      </c>
      <c r="P26" s="253">
        <f t="shared" ref="P26:S26" si="24">SUM(P27:P28)</f>
        <v>0</v>
      </c>
      <c r="Q26" s="253">
        <f t="shared" si="24"/>
        <v>0</v>
      </c>
      <c r="R26" s="253">
        <f t="shared" si="24"/>
        <v>0</v>
      </c>
      <c r="S26" s="253">
        <f t="shared" si="24"/>
        <v>0</v>
      </c>
      <c r="T26" s="151">
        <f t="shared" si="3"/>
        <v>39544.299999999996</v>
      </c>
      <c r="U26" s="258">
        <f t="shared" si="14"/>
        <v>39175.909999999996</v>
      </c>
      <c r="V26" s="281">
        <f t="shared" ref="V26" si="25">J26+N26+R26</f>
        <v>39175.911</v>
      </c>
      <c r="W26" s="281">
        <f t="shared" ref="W26" si="26">K26+O26+S26</f>
        <v>39175.906999999999</v>
      </c>
      <c r="X26" s="139">
        <f t="shared" ref="X26:Y26" si="27">SUM(X27:X28)</f>
        <v>0</v>
      </c>
      <c r="Y26" s="139">
        <f t="shared" si="27"/>
        <v>35255.921000000002</v>
      </c>
      <c r="Z26" s="424"/>
    </row>
    <row r="27" spans="1:26" hidden="1">
      <c r="A27" s="314"/>
      <c r="B27" s="87" t="s">
        <v>156</v>
      </c>
      <c r="C27" s="338"/>
      <c r="D27" s="335"/>
      <c r="E27" s="332"/>
      <c r="F27" s="352"/>
      <c r="G27" s="139"/>
      <c r="H27" s="139"/>
      <c r="I27" s="88">
        <f>1751.974+1625.105+4434.14+2903.905+8855.474+13263.632</f>
        <v>32834.229999999996</v>
      </c>
      <c r="J27" s="89">
        <f>8123.33+2676.67+490.286+3241.357+17516.108</f>
        <v>32047.751</v>
      </c>
      <c r="K27" s="91">
        <f>10800+490.286+3241.357+17516.108</f>
        <v>32047.751</v>
      </c>
      <c r="L27" s="91"/>
      <c r="M27" s="91">
        <f>43.33</f>
        <v>43.33</v>
      </c>
      <c r="N27" s="153">
        <f>786.48+43.33</f>
        <v>829.81000000000006</v>
      </c>
      <c r="O27" s="91">
        <f>786.48+43.326</f>
        <v>829.80600000000004</v>
      </c>
      <c r="P27" s="91"/>
      <c r="Q27" s="91"/>
      <c r="R27" s="153"/>
      <c r="S27" s="91"/>
      <c r="T27" s="153">
        <f t="shared" si="3"/>
        <v>0</v>
      </c>
      <c r="U27" s="91">
        <f t="shared" si="14"/>
        <v>32877.56</v>
      </c>
      <c r="V27" s="153">
        <f t="shared" si="21"/>
        <v>32877.561000000002</v>
      </c>
      <c r="W27" s="153">
        <f t="shared" si="22"/>
        <v>32877.557000000001</v>
      </c>
      <c r="X27" s="90"/>
      <c r="Y27" s="91">
        <f>10800+490.286+3241.357+17516.108</f>
        <v>32047.751</v>
      </c>
      <c r="Z27" s="424"/>
    </row>
    <row r="28" spans="1:26" hidden="1">
      <c r="A28" s="314"/>
      <c r="B28" s="75" t="s">
        <v>157</v>
      </c>
      <c r="C28" s="338"/>
      <c r="D28" s="335"/>
      <c r="E28" s="332"/>
      <c r="F28" s="352"/>
      <c r="G28" s="139"/>
      <c r="H28" s="139"/>
      <c r="I28" s="88"/>
      <c r="J28" s="89">
        <v>3208.17</v>
      </c>
      <c r="K28" s="91">
        <v>3208.17</v>
      </c>
      <c r="L28" s="91"/>
      <c r="M28" s="91">
        <v>6298.35</v>
      </c>
      <c r="N28" s="153">
        <v>3090.18</v>
      </c>
      <c r="O28" s="91">
        <f>3090.18</f>
        <v>3090.18</v>
      </c>
      <c r="P28" s="91"/>
      <c r="Q28" s="91"/>
      <c r="R28" s="153"/>
      <c r="S28" s="91"/>
      <c r="T28" s="153">
        <f t="shared" si="3"/>
        <v>0</v>
      </c>
      <c r="U28" s="91">
        <f t="shared" si="14"/>
        <v>6298.35</v>
      </c>
      <c r="V28" s="153">
        <f t="shared" si="21"/>
        <v>6298.35</v>
      </c>
      <c r="W28" s="153">
        <f t="shared" si="22"/>
        <v>6298.35</v>
      </c>
      <c r="X28" s="90"/>
      <c r="Y28" s="91">
        <v>3208.17</v>
      </c>
      <c r="Z28" s="424"/>
    </row>
    <row r="29" spans="1:26">
      <c r="A29" s="314"/>
      <c r="B29" s="23" t="s">
        <v>37</v>
      </c>
      <c r="C29" s="391"/>
      <c r="D29" s="335"/>
      <c r="E29" s="332"/>
      <c r="F29" s="352"/>
      <c r="G29" s="140">
        <f>SUM(H29:Y29)</f>
        <v>0</v>
      </c>
      <c r="H29" s="140"/>
      <c r="I29" s="140"/>
      <c r="J29" s="140"/>
      <c r="K29" s="140"/>
      <c r="L29" s="140"/>
      <c r="M29" s="140"/>
      <c r="N29" s="140"/>
      <c r="O29" s="208"/>
      <c r="P29" s="254"/>
      <c r="Q29" s="254"/>
      <c r="R29" s="254"/>
      <c r="S29" s="254"/>
      <c r="T29" s="150">
        <f t="shared" si="3"/>
        <v>0</v>
      </c>
      <c r="U29" s="150">
        <f t="shared" ref="U29:U63" si="28">I29+M29</f>
        <v>0</v>
      </c>
      <c r="V29" s="150">
        <f t="shared" si="21"/>
        <v>0</v>
      </c>
      <c r="W29" s="150">
        <f t="shared" si="22"/>
        <v>0</v>
      </c>
      <c r="X29" s="140"/>
      <c r="Y29" s="140"/>
      <c r="Z29" s="424"/>
    </row>
    <row r="30" spans="1:26">
      <c r="A30" s="315"/>
      <c r="B30" s="23" t="s">
        <v>38</v>
      </c>
      <c r="C30" s="392"/>
      <c r="D30" s="336"/>
      <c r="E30" s="333"/>
      <c r="F30" s="295"/>
      <c r="G30" s="140">
        <f>SUM(H30:Y30)</f>
        <v>0</v>
      </c>
      <c r="H30" s="140"/>
      <c r="I30" s="140"/>
      <c r="J30" s="140"/>
      <c r="K30" s="140"/>
      <c r="L30" s="140"/>
      <c r="M30" s="140"/>
      <c r="N30" s="140"/>
      <c r="O30" s="208"/>
      <c r="P30" s="254"/>
      <c r="Q30" s="254"/>
      <c r="R30" s="254"/>
      <c r="S30" s="254"/>
      <c r="T30" s="150">
        <f t="shared" si="3"/>
        <v>0</v>
      </c>
      <c r="U30" s="150">
        <f t="shared" si="28"/>
        <v>0</v>
      </c>
      <c r="V30" s="150">
        <f t="shared" si="21"/>
        <v>0</v>
      </c>
      <c r="W30" s="150">
        <f t="shared" si="22"/>
        <v>0</v>
      </c>
      <c r="X30" s="140"/>
      <c r="Y30" s="140"/>
      <c r="Z30" s="425"/>
    </row>
    <row r="31" spans="1:26" ht="41.25" customHeight="1">
      <c r="A31" s="313" t="s">
        <v>87</v>
      </c>
      <c r="B31" s="13" t="s">
        <v>13</v>
      </c>
      <c r="C31" s="337" t="s">
        <v>43</v>
      </c>
      <c r="D31" s="334" t="s">
        <v>47</v>
      </c>
      <c r="E31" s="294">
        <v>60</v>
      </c>
      <c r="F31" s="294" t="s">
        <v>17</v>
      </c>
      <c r="G31" s="25">
        <f t="shared" ref="G31:L31" si="29">G32+G52+G54+G58+G60+G59</f>
        <v>967205.2</v>
      </c>
      <c r="H31" s="25">
        <f t="shared" si="29"/>
        <v>298575</v>
      </c>
      <c r="I31" s="25">
        <f t="shared" si="29"/>
        <v>208803.57799999998</v>
      </c>
      <c r="J31" s="25">
        <f t="shared" si="29"/>
        <v>17741.784</v>
      </c>
      <c r="K31" s="25">
        <f t="shared" si="29"/>
        <v>17741.784</v>
      </c>
      <c r="L31" s="25">
        <f t="shared" si="29"/>
        <v>668630.19999999995</v>
      </c>
      <c r="M31" s="25">
        <f>M32+M58+M59+M60</f>
        <v>52982.663</v>
      </c>
      <c r="N31" s="25">
        <f>N32+N52+N54+N58+N60</f>
        <v>449582.23599999998</v>
      </c>
      <c r="O31" s="25">
        <f>O32+O52+O54+O58+O60</f>
        <v>89647.271999999997</v>
      </c>
      <c r="P31" s="25">
        <f t="shared" ref="P31" si="30">P32+P52+P54+P58+P60+P59</f>
        <v>0</v>
      </c>
      <c r="Q31" s="25">
        <f>Q32+Q58+Q59+Q60</f>
        <v>12899.055</v>
      </c>
      <c r="R31" s="25">
        <f>R32+R52+R54+R58+R60</f>
        <v>61383.225000000006</v>
      </c>
      <c r="S31" s="25">
        <f>S32+S52+S54+S58+S60</f>
        <v>83213.813999999998</v>
      </c>
      <c r="T31" s="25">
        <f>H31+L31</f>
        <v>967205.2</v>
      </c>
      <c r="U31" s="25">
        <f>I31+M31+Q31</f>
        <v>274685.29599999997</v>
      </c>
      <c r="V31" s="25">
        <f t="shared" ref="V31:W32" si="31">J31+N31+R31</f>
        <v>528707.245</v>
      </c>
      <c r="W31" s="25">
        <f t="shared" si="31"/>
        <v>190602.87</v>
      </c>
      <c r="X31" s="158"/>
      <c r="Y31" s="158"/>
      <c r="Z31" s="423"/>
    </row>
    <row r="32" spans="1:26" ht="12.75" customHeight="1">
      <c r="A32" s="314"/>
      <c r="B32" s="22" t="s">
        <v>126</v>
      </c>
      <c r="C32" s="338"/>
      <c r="D32" s="393"/>
      <c r="E32" s="352"/>
      <c r="F32" s="352"/>
      <c r="G32" s="323">
        <v>506105.2</v>
      </c>
      <c r="H32" s="357">
        <v>9000</v>
      </c>
      <c r="I32" s="387">
        <f>SUM(I34:I46)</f>
        <v>208803.57799999998</v>
      </c>
      <c r="J32" s="387">
        <f t="shared" ref="J32:K32" si="32">SUM(J34:J46)</f>
        <v>17741.784</v>
      </c>
      <c r="K32" s="387">
        <f t="shared" si="32"/>
        <v>17741.784</v>
      </c>
      <c r="L32" s="323">
        <v>497105.2</v>
      </c>
      <c r="M32" s="387">
        <f>SUM(M34:M51)</f>
        <v>26399.826000000001</v>
      </c>
      <c r="N32" s="387">
        <f>SUM(N34:N51)</f>
        <v>53927.066999999995</v>
      </c>
      <c r="O32" s="387">
        <f>SUM(O34:O51)</f>
        <v>72925.868000000002</v>
      </c>
      <c r="P32" s="323">
        <v>0</v>
      </c>
      <c r="Q32" s="387">
        <f>SUM(Q34:Q51)</f>
        <v>12899.055</v>
      </c>
      <c r="R32" s="387">
        <f>SUM(R34:R51)</f>
        <v>61383.225000000006</v>
      </c>
      <c r="S32" s="387">
        <f>SUM(S34:S51)</f>
        <v>83213.813999999998</v>
      </c>
      <c r="T32" s="323">
        <f t="shared" si="3"/>
        <v>506105.2</v>
      </c>
      <c r="U32" s="323">
        <f>I32+M32+Q32</f>
        <v>248102.45899999997</v>
      </c>
      <c r="V32" s="323">
        <f t="shared" si="31"/>
        <v>133052.076</v>
      </c>
      <c r="W32" s="323">
        <f t="shared" si="31"/>
        <v>173881.46600000001</v>
      </c>
      <c r="X32" s="387">
        <f>SUM(X34:X41)</f>
        <v>587.74800000000005</v>
      </c>
      <c r="Y32" s="387">
        <f>SUM(Y34:Y46)</f>
        <v>20832.667000000001</v>
      </c>
      <c r="Z32" s="424"/>
    </row>
    <row r="33" spans="1:26" ht="12.75" customHeight="1">
      <c r="A33" s="314"/>
      <c r="B33" s="40" t="s">
        <v>27</v>
      </c>
      <c r="C33" s="338"/>
      <c r="D33" s="393"/>
      <c r="E33" s="352"/>
      <c r="F33" s="352"/>
      <c r="G33" s="394"/>
      <c r="H33" s="394"/>
      <c r="I33" s="388"/>
      <c r="J33" s="388"/>
      <c r="K33" s="388"/>
      <c r="L33" s="324"/>
      <c r="M33" s="388"/>
      <c r="N33" s="388"/>
      <c r="O33" s="388"/>
      <c r="P33" s="324"/>
      <c r="Q33" s="388"/>
      <c r="R33" s="388"/>
      <c r="S33" s="388"/>
      <c r="T33" s="324">
        <f t="shared" si="3"/>
        <v>0</v>
      </c>
      <c r="U33" s="324">
        <f t="shared" si="3"/>
        <v>0</v>
      </c>
      <c r="V33" s="324">
        <f t="shared" ref="V33" si="33">J33+N33</f>
        <v>0</v>
      </c>
      <c r="W33" s="324">
        <f t="shared" ref="W33" si="34">K33+O33</f>
        <v>0</v>
      </c>
      <c r="X33" s="388"/>
      <c r="Y33" s="388"/>
      <c r="Z33" s="424"/>
    </row>
    <row r="34" spans="1:26" ht="12.75" hidden="1" customHeight="1">
      <c r="A34" s="314"/>
      <c r="B34" s="75" t="s">
        <v>141</v>
      </c>
      <c r="C34" s="338"/>
      <c r="D34" s="393"/>
      <c r="E34" s="352"/>
      <c r="F34" s="352"/>
      <c r="G34" s="105"/>
      <c r="H34" s="105"/>
      <c r="I34" s="93">
        <f>-421.991+418.983+92.268+433.645+68.79+72.104+78.74+175.303+177.728</f>
        <v>1095.57</v>
      </c>
      <c r="J34" s="94"/>
      <c r="K34" s="94"/>
      <c r="L34" s="95"/>
      <c r="M34" s="91"/>
      <c r="N34" s="95"/>
      <c r="O34" s="213"/>
      <c r="P34" s="95"/>
      <c r="Q34" s="263"/>
      <c r="R34" s="95"/>
      <c r="S34" s="213"/>
      <c r="T34" s="153">
        <f t="shared" si="3"/>
        <v>0</v>
      </c>
      <c r="U34" s="91">
        <f>I34+M34+Q34</f>
        <v>1095.57</v>
      </c>
      <c r="V34" s="153">
        <f t="shared" si="21"/>
        <v>0</v>
      </c>
      <c r="W34" s="153">
        <f t="shared" si="22"/>
        <v>0</v>
      </c>
      <c r="X34" s="95"/>
      <c r="Y34" s="96"/>
      <c r="Z34" s="424"/>
    </row>
    <row r="35" spans="1:26" ht="12.75" hidden="1" customHeight="1">
      <c r="A35" s="314"/>
      <c r="B35" s="75" t="s">
        <v>152</v>
      </c>
      <c r="C35" s="338"/>
      <c r="D35" s="393"/>
      <c r="E35" s="352"/>
      <c r="F35" s="352"/>
      <c r="G35" s="105"/>
      <c r="H35" s="159"/>
      <c r="I35" s="93">
        <f>-358.177+263.958+58.128+288.719+46.949+49.285+53.925+120.056+121.716</f>
        <v>644.55899999999997</v>
      </c>
      <c r="J35" s="97"/>
      <c r="K35" s="97"/>
      <c r="L35" s="98"/>
      <c r="M35" s="91"/>
      <c r="N35" s="218">
        <v>182.345</v>
      </c>
      <c r="O35" s="94">
        <v>182.345</v>
      </c>
      <c r="P35" s="98"/>
      <c r="Q35" s="263"/>
      <c r="R35" s="218"/>
      <c r="S35" s="94"/>
      <c r="T35" s="153">
        <f t="shared" si="3"/>
        <v>0</v>
      </c>
      <c r="U35" s="91">
        <f t="shared" ref="U35:U51" si="35">I35+M35+Q35</f>
        <v>644.55899999999997</v>
      </c>
      <c r="V35" s="153">
        <f t="shared" si="21"/>
        <v>182.345</v>
      </c>
      <c r="W35" s="153">
        <f t="shared" si="22"/>
        <v>182.345</v>
      </c>
      <c r="X35" s="98"/>
      <c r="Y35" s="99"/>
      <c r="Z35" s="424"/>
    </row>
    <row r="36" spans="1:26" ht="12.75" hidden="1" customHeight="1">
      <c r="A36" s="314"/>
      <c r="B36" s="75" t="s">
        <v>153</v>
      </c>
      <c r="C36" s="338"/>
      <c r="D36" s="393"/>
      <c r="E36" s="352"/>
      <c r="F36" s="352"/>
      <c r="G36" s="105"/>
      <c r="H36" s="105"/>
      <c r="I36" s="100">
        <f>88.427+18.659+19.283+19.767+17.108+18.941+17.733+18.701+18.102+19.992+44.51+45.126</f>
        <v>346.34899999999999</v>
      </c>
      <c r="J36" s="97"/>
      <c r="K36" s="97"/>
      <c r="L36" s="98"/>
      <c r="M36" s="91"/>
      <c r="N36" s="227">
        <v>47.203000000000003</v>
      </c>
      <c r="O36" s="94">
        <v>47.203000000000003</v>
      </c>
      <c r="P36" s="98"/>
      <c r="Q36" s="263"/>
      <c r="R36" s="227"/>
      <c r="S36" s="94"/>
      <c r="T36" s="153">
        <f t="shared" si="3"/>
        <v>0</v>
      </c>
      <c r="U36" s="91">
        <f t="shared" si="35"/>
        <v>346.34899999999999</v>
      </c>
      <c r="V36" s="153">
        <f t="shared" si="21"/>
        <v>47.203000000000003</v>
      </c>
      <c r="W36" s="153">
        <f t="shared" si="22"/>
        <v>47.203000000000003</v>
      </c>
      <c r="X36" s="98"/>
      <c r="Y36" s="101"/>
      <c r="Z36" s="424"/>
    </row>
    <row r="37" spans="1:26" ht="12.75" hidden="1" customHeight="1">
      <c r="A37" s="314"/>
      <c r="B37" s="75" t="s">
        <v>158</v>
      </c>
      <c r="C37" s="338"/>
      <c r="D37" s="393"/>
      <c r="E37" s="352"/>
      <c r="F37" s="352"/>
      <c r="G37" s="105"/>
      <c r="H37" s="105"/>
      <c r="I37" s="93">
        <f>2221.155+3877.673+948.183+10.514-148.646</f>
        <v>6908.8789999999999</v>
      </c>
      <c r="J37" s="97"/>
      <c r="K37" s="97"/>
      <c r="L37" s="98"/>
      <c r="M37" s="91"/>
      <c r="N37" s="218">
        <f>391.4+684.315-684.315+1059.163+2245.07</f>
        <v>3695.6330000000003</v>
      </c>
      <c r="O37" s="94">
        <f>391.46+684.315-684.315+1059.163+2245.011</f>
        <v>3695.634</v>
      </c>
      <c r="P37" s="98"/>
      <c r="Q37" s="263"/>
      <c r="R37" s="94">
        <f>939.049+806.73+1818.032</f>
        <v>3563.8109999999997</v>
      </c>
      <c r="S37" s="94">
        <f>939.049+806.743+1818.032</f>
        <v>3563.8239999999996</v>
      </c>
      <c r="T37" s="153">
        <f t="shared" si="3"/>
        <v>0</v>
      </c>
      <c r="U37" s="91">
        <f t="shared" si="35"/>
        <v>6908.8789999999999</v>
      </c>
      <c r="V37" s="153">
        <f t="shared" si="21"/>
        <v>3695.6330000000003</v>
      </c>
      <c r="W37" s="153">
        <f t="shared" si="22"/>
        <v>3695.634</v>
      </c>
      <c r="X37" s="98"/>
      <c r="Y37" s="101"/>
      <c r="Z37" s="424"/>
    </row>
    <row r="38" spans="1:26" ht="12.75" hidden="1" customHeight="1">
      <c r="A38" s="314"/>
      <c r="B38" s="75" t="s">
        <v>205</v>
      </c>
      <c r="C38" s="338"/>
      <c r="D38" s="393"/>
      <c r="E38" s="352"/>
      <c r="F38" s="352"/>
      <c r="G38" s="157"/>
      <c r="H38" s="157"/>
      <c r="I38" s="93"/>
      <c r="J38" s="183"/>
      <c r="K38" s="183"/>
      <c r="L38" s="98"/>
      <c r="M38" s="91">
        <f>384.123+114.844+163.034+373.105+340.76+334.224+323.823+369.81+330.238+453.331+382.678+90.24+331.768+348.142+338.707+336.097</f>
        <v>5014.924</v>
      </c>
      <c r="N38" s="95">
        <f>12842.7+1473.15+6667.12+12872.4+5120-171.1</f>
        <v>38804.270000000004</v>
      </c>
      <c r="O38" s="94">
        <f>14315.854+9891.128-9891.128+15309.198+28178.018</f>
        <v>57803.07</v>
      </c>
      <c r="P38" s="98"/>
      <c r="Q38" s="263">
        <f>344.525+266.229+276.812+269.37+281.317+281.893+292.901+277.062+232.492+238.134+238.577+243.094</f>
        <v>3242.4059999999999</v>
      </c>
      <c r="R38" s="95">
        <f>7452.352+12391.5+17707.82+3991.12+8332.606</f>
        <v>49875.398000000001</v>
      </c>
      <c r="S38" s="94">
        <f>19843.847+21698.942+30163.185</f>
        <v>71705.974000000002</v>
      </c>
      <c r="T38" s="153"/>
      <c r="U38" s="91">
        <f t="shared" si="35"/>
        <v>8257.33</v>
      </c>
      <c r="V38" s="153"/>
      <c r="W38" s="153"/>
      <c r="X38" s="98"/>
      <c r="Y38" s="101"/>
      <c r="Z38" s="424"/>
    </row>
    <row r="39" spans="1:26" ht="12.75" hidden="1" customHeight="1">
      <c r="A39" s="314"/>
      <c r="B39" s="75" t="s">
        <v>159</v>
      </c>
      <c r="C39" s="338"/>
      <c r="D39" s="393"/>
      <c r="E39" s="352"/>
      <c r="F39" s="352"/>
      <c r="G39" s="105"/>
      <c r="H39" s="105"/>
      <c r="I39" s="93">
        <v>1618.125</v>
      </c>
      <c r="J39" s="94">
        <v>200</v>
      </c>
      <c r="K39" s="94">
        <v>200</v>
      </c>
      <c r="L39" s="95"/>
      <c r="M39" s="91">
        <f>96.319+82.391+500+2779.626+200+200+200+200</f>
        <v>4258.3360000000002</v>
      </c>
      <c r="N39" s="95">
        <f>809.063+41.196+320.76+200+200+200</f>
        <v>1771.019</v>
      </c>
      <c r="O39" s="94">
        <f>809.063+41.196+320.76+200+200+200</f>
        <v>1771.019</v>
      </c>
      <c r="P39" s="95"/>
      <c r="Q39" s="263">
        <f>200+200</f>
        <v>400</v>
      </c>
      <c r="R39" s="94">
        <f>200+200+200</f>
        <v>600</v>
      </c>
      <c r="S39" s="94">
        <f>200+200+200</f>
        <v>600</v>
      </c>
      <c r="T39" s="153">
        <f t="shared" si="3"/>
        <v>0</v>
      </c>
      <c r="U39" s="91">
        <f t="shared" si="35"/>
        <v>6276.4610000000002</v>
      </c>
      <c r="V39" s="153">
        <f t="shared" si="21"/>
        <v>1971.019</v>
      </c>
      <c r="W39" s="153">
        <f t="shared" si="22"/>
        <v>1971.019</v>
      </c>
      <c r="X39" s="98"/>
      <c r="Y39" s="101"/>
      <c r="Z39" s="424"/>
    </row>
    <row r="40" spans="1:26" ht="12.75" hidden="1" customHeight="1">
      <c r="A40" s="314"/>
      <c r="B40" s="75" t="s">
        <v>185</v>
      </c>
      <c r="C40" s="338"/>
      <c r="D40" s="393"/>
      <c r="E40" s="352"/>
      <c r="F40" s="352"/>
      <c r="G40" s="105"/>
      <c r="H40" s="105"/>
      <c r="I40" s="97"/>
      <c r="J40" s="160"/>
      <c r="K40" s="160"/>
      <c r="L40" s="160"/>
      <c r="M40" s="91"/>
      <c r="N40" s="160"/>
      <c r="O40" s="160"/>
      <c r="P40" s="160"/>
      <c r="Q40" s="263"/>
      <c r="R40" s="160"/>
      <c r="S40" s="160"/>
      <c r="T40" s="153">
        <f t="shared" si="3"/>
        <v>0</v>
      </c>
      <c r="U40" s="91">
        <f t="shared" si="35"/>
        <v>0</v>
      </c>
      <c r="V40" s="153">
        <f t="shared" si="21"/>
        <v>0</v>
      </c>
      <c r="W40" s="153">
        <f t="shared" si="22"/>
        <v>0</v>
      </c>
      <c r="X40" s="101">
        <f>293.874+293.874</f>
        <v>587.74800000000005</v>
      </c>
      <c r="Y40" s="101">
        <f>293.874+293.874+391.832+490.405</f>
        <v>1469.9850000000001</v>
      </c>
      <c r="Z40" s="424"/>
    </row>
    <row r="41" spans="1:26" ht="12.75" hidden="1" customHeight="1">
      <c r="A41" s="314"/>
      <c r="B41" s="75" t="s">
        <v>160</v>
      </c>
      <c r="C41" s="338"/>
      <c r="D41" s="393"/>
      <c r="E41" s="352"/>
      <c r="F41" s="352"/>
      <c r="G41" s="105"/>
      <c r="H41" s="105"/>
      <c r="I41" s="102">
        <f>89452.584+108483.531</f>
        <v>197936.11499999999</v>
      </c>
      <c r="J41" s="126">
        <f>7000+1093.715+1000+7988.669</f>
        <v>17082.383999999998</v>
      </c>
      <c r="K41" s="126">
        <f>7000+1093.715+1000+7988.669</f>
        <v>17082.383999999998</v>
      </c>
      <c r="L41" s="154"/>
      <c r="M41" s="91">
        <f>1384.589+266.605+1426.433+935.511+5856.24+6265.357+771.774</f>
        <v>16906.509000000002</v>
      </c>
      <c r="N41" s="154">
        <f>7888.188+649.787+447.899+58.313+151.202</f>
        <v>9195.3889999999992</v>
      </c>
      <c r="O41" s="103">
        <f>7888.188+649.787+447.899+58.313+151.202</f>
        <v>9195.3889999999992</v>
      </c>
      <c r="P41" s="154"/>
      <c r="Q41" s="263"/>
      <c r="R41" s="154"/>
      <c r="S41" s="103"/>
      <c r="T41" s="153">
        <f t="shared" si="3"/>
        <v>0</v>
      </c>
      <c r="U41" s="91">
        <f t="shared" si="35"/>
        <v>214842.62399999998</v>
      </c>
      <c r="V41" s="153">
        <f t="shared" si="21"/>
        <v>26277.772999999997</v>
      </c>
      <c r="W41" s="153">
        <f t="shared" si="22"/>
        <v>26277.772999999997</v>
      </c>
      <c r="X41" s="104"/>
      <c r="Y41" s="103">
        <f>7000+1093.715+1000+7988.669</f>
        <v>17082.383999999998</v>
      </c>
      <c r="Z41" s="424"/>
    </row>
    <row r="42" spans="1:26" ht="12.75" hidden="1" customHeight="1">
      <c r="A42" s="314"/>
      <c r="B42" s="75" t="s">
        <v>215</v>
      </c>
      <c r="C42" s="338"/>
      <c r="D42" s="393"/>
      <c r="E42" s="352"/>
      <c r="F42" s="352"/>
      <c r="G42" s="215"/>
      <c r="H42" s="215"/>
      <c r="I42" s="102"/>
      <c r="J42" s="103"/>
      <c r="K42" s="103"/>
      <c r="L42" s="154"/>
      <c r="M42" s="91"/>
      <c r="N42" s="154"/>
      <c r="O42" s="103"/>
      <c r="P42" s="154"/>
      <c r="Q42" s="263"/>
      <c r="R42" s="154"/>
      <c r="S42" s="103"/>
      <c r="T42" s="153"/>
      <c r="U42" s="91">
        <f t="shared" si="35"/>
        <v>0</v>
      </c>
      <c r="V42" s="153"/>
      <c r="W42" s="153"/>
      <c r="X42" s="104"/>
      <c r="Y42" s="103"/>
      <c r="Z42" s="424"/>
    </row>
    <row r="43" spans="1:26" ht="12.75" hidden="1" customHeight="1">
      <c r="A43" s="314"/>
      <c r="B43" s="75" t="s">
        <v>216</v>
      </c>
      <c r="C43" s="338"/>
      <c r="D43" s="393"/>
      <c r="E43" s="352"/>
      <c r="F43" s="352"/>
      <c r="G43" s="221"/>
      <c r="H43" s="215"/>
      <c r="I43" s="102"/>
      <c r="J43" s="103"/>
      <c r="K43" s="103"/>
      <c r="L43" s="154"/>
      <c r="M43" s="91"/>
      <c r="N43" s="154"/>
      <c r="O43" s="103"/>
      <c r="P43" s="154"/>
      <c r="Q43" s="263"/>
      <c r="R43" s="154"/>
      <c r="S43" s="103"/>
      <c r="T43" s="153"/>
      <c r="U43" s="91">
        <f t="shared" si="35"/>
        <v>0</v>
      </c>
      <c r="V43" s="153"/>
      <c r="W43" s="153"/>
      <c r="X43" s="104"/>
      <c r="Y43" s="103"/>
      <c r="Z43" s="424"/>
    </row>
    <row r="44" spans="1:26" ht="12.75" hidden="1" customHeight="1">
      <c r="A44" s="314"/>
      <c r="B44" s="75" t="s">
        <v>161</v>
      </c>
      <c r="C44" s="338"/>
      <c r="D44" s="393"/>
      <c r="E44" s="352"/>
      <c r="F44" s="352"/>
      <c r="G44" s="105"/>
      <c r="H44" s="105"/>
      <c r="I44" s="102">
        <v>253.98099999999999</v>
      </c>
      <c r="J44" s="103">
        <v>253.98099999999999</v>
      </c>
      <c r="K44" s="103">
        <v>253.98099999999999</v>
      </c>
      <c r="L44" s="154"/>
      <c r="M44" s="91"/>
      <c r="N44" s="154"/>
      <c r="O44" s="103"/>
      <c r="P44" s="154"/>
      <c r="Q44" s="263"/>
      <c r="R44" s="154"/>
      <c r="S44" s="103"/>
      <c r="T44" s="153">
        <f t="shared" si="3"/>
        <v>0</v>
      </c>
      <c r="U44" s="91">
        <f t="shared" si="35"/>
        <v>253.98099999999999</v>
      </c>
      <c r="V44" s="153">
        <f t="shared" si="21"/>
        <v>253.98099999999999</v>
      </c>
      <c r="W44" s="153">
        <f t="shared" si="22"/>
        <v>253.98099999999999</v>
      </c>
      <c r="X44" s="104"/>
      <c r="Y44" s="103">
        <v>253.98099999999999</v>
      </c>
      <c r="Z44" s="424"/>
    </row>
    <row r="45" spans="1:26" ht="12.75" hidden="1" customHeight="1">
      <c r="A45" s="314"/>
      <c r="B45" s="75" t="s">
        <v>162</v>
      </c>
      <c r="C45" s="338"/>
      <c r="D45" s="393"/>
      <c r="E45" s="352"/>
      <c r="F45" s="352"/>
      <c r="G45" s="105"/>
      <c r="H45" s="105"/>
      <c r="I45" s="105"/>
      <c r="J45" s="103">
        <f>222.666-17.247</f>
        <v>205.41899999999998</v>
      </c>
      <c r="K45" s="103">
        <f>222.666-17.247</f>
        <v>205.41899999999998</v>
      </c>
      <c r="L45" s="103"/>
      <c r="M45" s="103"/>
      <c r="N45" s="103"/>
      <c r="O45" s="103"/>
      <c r="P45" s="103"/>
      <c r="Q45" s="264"/>
      <c r="R45" s="103"/>
      <c r="S45" s="103"/>
      <c r="T45" s="153">
        <f t="shared" si="3"/>
        <v>0</v>
      </c>
      <c r="U45" s="91">
        <f t="shared" si="35"/>
        <v>0</v>
      </c>
      <c r="V45" s="153">
        <f t="shared" si="21"/>
        <v>205.41899999999998</v>
      </c>
      <c r="W45" s="153">
        <f t="shared" si="22"/>
        <v>205.41899999999998</v>
      </c>
      <c r="X45" s="103">
        <f>222.666-17.247</f>
        <v>205.41899999999998</v>
      </c>
      <c r="Y45" s="103">
        <f>222.666-17.247</f>
        <v>205.41899999999998</v>
      </c>
      <c r="Z45" s="424"/>
    </row>
    <row r="46" spans="1:26" ht="12.75" hidden="1" customHeight="1">
      <c r="A46" s="314"/>
      <c r="B46" s="75" t="s">
        <v>186</v>
      </c>
      <c r="C46" s="338"/>
      <c r="D46" s="393"/>
      <c r="E46" s="352"/>
      <c r="F46" s="352"/>
      <c r="G46" s="105"/>
      <c r="H46" s="105"/>
      <c r="I46" s="105"/>
      <c r="J46" s="160"/>
      <c r="K46" s="160"/>
      <c r="L46" s="161"/>
      <c r="M46" s="161"/>
      <c r="N46" s="161"/>
      <c r="O46" s="161"/>
      <c r="P46" s="161"/>
      <c r="Q46" s="265"/>
      <c r="R46" s="161"/>
      <c r="S46" s="161"/>
      <c r="T46" s="153">
        <f t="shared" si="3"/>
        <v>0</v>
      </c>
      <c r="U46" s="91">
        <f t="shared" si="35"/>
        <v>0</v>
      </c>
      <c r="V46" s="153">
        <f t="shared" si="21"/>
        <v>0</v>
      </c>
      <c r="W46" s="153">
        <f t="shared" si="22"/>
        <v>0</v>
      </c>
      <c r="X46" s="103">
        <f>660.043+350+442.165+369.69</f>
        <v>1821.8980000000001</v>
      </c>
      <c r="Y46" s="103">
        <f>660.043+350+442.165+368.69</f>
        <v>1820.8980000000001</v>
      </c>
      <c r="Z46" s="424"/>
    </row>
    <row r="47" spans="1:26" ht="12.75" hidden="1" customHeight="1">
      <c r="A47" s="314"/>
      <c r="B47" s="75" t="s">
        <v>211</v>
      </c>
      <c r="C47" s="338"/>
      <c r="D47" s="393"/>
      <c r="E47" s="352"/>
      <c r="F47" s="352"/>
      <c r="G47" s="210"/>
      <c r="H47" s="210"/>
      <c r="I47" s="210"/>
      <c r="J47" s="160"/>
      <c r="K47" s="160"/>
      <c r="L47" s="161"/>
      <c r="M47" s="91">
        <v>220.05699999999999</v>
      </c>
      <c r="N47" s="217">
        <f>98.936+121.121</f>
        <v>220.05700000000002</v>
      </c>
      <c r="O47" s="217">
        <f>98.936+121.121</f>
        <v>220.05700000000002</v>
      </c>
      <c r="P47" s="161"/>
      <c r="Q47" s="263"/>
      <c r="R47" s="217"/>
      <c r="S47" s="217"/>
      <c r="T47" s="153"/>
      <c r="U47" s="91">
        <f t="shared" si="35"/>
        <v>220.05699999999999</v>
      </c>
      <c r="V47" s="153"/>
      <c r="W47" s="153"/>
      <c r="X47" s="103"/>
      <c r="Y47" s="103"/>
      <c r="Z47" s="424"/>
    </row>
    <row r="48" spans="1:26" ht="12.75" hidden="1" customHeight="1">
      <c r="A48" s="314"/>
      <c r="B48" s="75" t="s">
        <v>240</v>
      </c>
      <c r="C48" s="338"/>
      <c r="D48" s="393"/>
      <c r="E48" s="352"/>
      <c r="F48" s="352"/>
      <c r="G48" s="271"/>
      <c r="H48" s="271"/>
      <c r="I48" s="271"/>
      <c r="J48" s="160"/>
      <c r="K48" s="160"/>
      <c r="L48" s="161"/>
      <c r="M48" s="211"/>
      <c r="N48" s="217"/>
      <c r="O48" s="217"/>
      <c r="P48" s="161"/>
      <c r="Q48" s="272">
        <f>790.75+512.66+380+138</f>
        <v>1821.4099999999999</v>
      </c>
      <c r="R48" s="217">
        <f>228.225+562.525+153.798+358.862+114+41.4+266+59.1</f>
        <v>1783.91</v>
      </c>
      <c r="S48" s="217">
        <f>228.225+562.525+153.798+358.862+114+41.4+266+59.1</f>
        <v>1783.91</v>
      </c>
      <c r="T48" s="153"/>
      <c r="U48" s="91"/>
      <c r="V48" s="153"/>
      <c r="W48" s="153"/>
      <c r="X48" s="103"/>
      <c r="Y48" s="103"/>
      <c r="Z48" s="424"/>
    </row>
    <row r="49" spans="1:26" ht="12.75" hidden="1" customHeight="1">
      <c r="A49" s="314"/>
      <c r="B49" s="75" t="s">
        <v>249</v>
      </c>
      <c r="C49" s="338"/>
      <c r="D49" s="393"/>
      <c r="E49" s="352"/>
      <c r="F49" s="352"/>
      <c r="G49" s="287"/>
      <c r="H49" s="287"/>
      <c r="I49" s="287"/>
      <c r="J49" s="160"/>
      <c r="K49" s="160"/>
      <c r="L49" s="161"/>
      <c r="M49" s="211"/>
      <c r="N49" s="217"/>
      <c r="O49" s="217"/>
      <c r="P49" s="161"/>
      <c r="Q49" s="272">
        <v>7386.1310000000003</v>
      </c>
      <c r="R49" s="217">
        <f>510.998+5000</f>
        <v>5510.9979999999996</v>
      </c>
      <c r="S49" s="217">
        <f>510.998+5000</f>
        <v>5510.9979999999996</v>
      </c>
      <c r="T49" s="153"/>
      <c r="U49" s="91"/>
      <c r="V49" s="153"/>
      <c r="W49" s="153"/>
      <c r="X49" s="103"/>
      <c r="Y49" s="103"/>
      <c r="Z49" s="424"/>
    </row>
    <row r="50" spans="1:26" ht="12.75" hidden="1" customHeight="1">
      <c r="A50" s="314"/>
      <c r="B50" s="75" t="s">
        <v>250</v>
      </c>
      <c r="C50" s="338"/>
      <c r="D50" s="393"/>
      <c r="E50" s="352"/>
      <c r="F50" s="352"/>
      <c r="G50" s="288"/>
      <c r="H50" s="288"/>
      <c r="I50" s="288"/>
      <c r="J50" s="160"/>
      <c r="K50" s="160"/>
      <c r="L50" s="161"/>
      <c r="M50" s="211"/>
      <c r="N50" s="217"/>
      <c r="O50" s="217"/>
      <c r="P50" s="161"/>
      <c r="Q50" s="272">
        <v>49.107999999999997</v>
      </c>
      <c r="R50" s="217">
        <v>49.107999999999997</v>
      </c>
      <c r="S50" s="217">
        <v>49.107999999999997</v>
      </c>
      <c r="T50" s="153"/>
      <c r="U50" s="91"/>
      <c r="V50" s="153"/>
      <c r="W50" s="153"/>
      <c r="X50" s="103"/>
      <c r="Y50" s="103"/>
      <c r="Z50" s="424"/>
    </row>
    <row r="51" spans="1:26" ht="12.75" hidden="1" customHeight="1">
      <c r="A51" s="314"/>
      <c r="B51" s="115" t="s">
        <v>207</v>
      </c>
      <c r="C51" s="338"/>
      <c r="D51" s="393"/>
      <c r="E51" s="352"/>
      <c r="F51" s="352"/>
      <c r="G51" s="105"/>
      <c r="H51" s="105"/>
      <c r="I51" s="105"/>
      <c r="J51" s="162"/>
      <c r="K51" s="162"/>
      <c r="L51" s="105"/>
      <c r="M51" s="105"/>
      <c r="N51" s="206">
        <v>11.151</v>
      </c>
      <c r="O51" s="206">
        <v>11.151</v>
      </c>
      <c r="P51" s="250"/>
      <c r="Q51" s="159"/>
      <c r="R51" s="206"/>
      <c r="S51" s="206"/>
      <c r="T51" s="153">
        <f t="shared" si="3"/>
        <v>0</v>
      </c>
      <c r="U51" s="91">
        <f t="shared" si="35"/>
        <v>0</v>
      </c>
      <c r="V51" s="153">
        <f t="shared" si="21"/>
        <v>11.151</v>
      </c>
      <c r="W51" s="153">
        <f t="shared" si="22"/>
        <v>11.151</v>
      </c>
      <c r="X51" s="105"/>
      <c r="Y51" s="105"/>
      <c r="Z51" s="424"/>
    </row>
    <row r="52" spans="1:26">
      <c r="A52" s="314"/>
      <c r="B52" s="23" t="s">
        <v>29</v>
      </c>
      <c r="C52" s="338"/>
      <c r="D52" s="393"/>
      <c r="E52" s="352"/>
      <c r="F52" s="352"/>
      <c r="G52" s="140">
        <f>SUM(G53)</f>
        <v>0</v>
      </c>
      <c r="H52" s="105"/>
      <c r="I52" s="105"/>
      <c r="J52" s="162"/>
      <c r="K52" s="162"/>
      <c r="L52" s="140">
        <f>SUM(L53)</f>
        <v>0</v>
      </c>
      <c r="M52" s="200">
        <f t="shared" ref="M52:S52" si="36">SUM(M53)</f>
        <v>0</v>
      </c>
      <c r="N52" s="200">
        <f t="shared" si="36"/>
        <v>0</v>
      </c>
      <c r="O52" s="200">
        <f t="shared" si="36"/>
        <v>0</v>
      </c>
      <c r="P52" s="254">
        <f>SUM(P53)</f>
        <v>0</v>
      </c>
      <c r="Q52" s="254">
        <f t="shared" si="36"/>
        <v>0</v>
      </c>
      <c r="R52" s="254">
        <f t="shared" si="36"/>
        <v>0</v>
      </c>
      <c r="S52" s="254">
        <f t="shared" si="36"/>
        <v>0</v>
      </c>
      <c r="T52" s="150">
        <f t="shared" si="3"/>
        <v>0</v>
      </c>
      <c r="U52" s="150">
        <f>I52+M52+Q52</f>
        <v>0</v>
      </c>
      <c r="V52" s="150">
        <f t="shared" si="21"/>
        <v>0</v>
      </c>
      <c r="W52" s="150">
        <f t="shared" si="22"/>
        <v>0</v>
      </c>
      <c r="X52" s="105"/>
      <c r="Y52" s="105"/>
      <c r="Z52" s="424"/>
    </row>
    <row r="53" spans="1:26">
      <c r="A53" s="314"/>
      <c r="B53" s="44" t="s">
        <v>39</v>
      </c>
      <c r="C53" s="338"/>
      <c r="D53" s="393"/>
      <c r="E53" s="352"/>
      <c r="F53" s="352"/>
      <c r="G53" s="139">
        <f>H53+X53+Y53</f>
        <v>0</v>
      </c>
      <c r="H53" s="139"/>
      <c r="I53" s="139"/>
      <c r="J53" s="139"/>
      <c r="K53" s="139"/>
      <c r="L53" s="139">
        <f>M53+AC53+AD53</f>
        <v>0</v>
      </c>
      <c r="M53" s="139"/>
      <c r="N53" s="139"/>
      <c r="O53" s="139"/>
      <c r="P53" s="253">
        <f>Q53+AG53+AH53</f>
        <v>0</v>
      </c>
      <c r="Q53" s="253"/>
      <c r="R53" s="253"/>
      <c r="S53" s="253"/>
      <c r="T53" s="151">
        <f t="shared" si="3"/>
        <v>0</v>
      </c>
      <c r="U53" s="151">
        <f>I53+M53+Q53</f>
        <v>0</v>
      </c>
      <c r="V53" s="151">
        <f t="shared" si="21"/>
        <v>0</v>
      </c>
      <c r="W53" s="151">
        <f t="shared" si="22"/>
        <v>0</v>
      </c>
      <c r="X53" s="139"/>
      <c r="Y53" s="163"/>
      <c r="Z53" s="424"/>
    </row>
    <row r="54" spans="1:26">
      <c r="A54" s="314"/>
      <c r="B54" s="23" t="s">
        <v>30</v>
      </c>
      <c r="C54" s="338"/>
      <c r="D54" s="393"/>
      <c r="E54" s="352"/>
      <c r="F54" s="352"/>
      <c r="G54" s="140">
        <f>SUM(G55:G57)</f>
        <v>0</v>
      </c>
      <c r="H54" s="164"/>
      <c r="I54" s="164"/>
      <c r="J54" s="164"/>
      <c r="K54" s="164"/>
      <c r="L54" s="140">
        <f>SUM(L55:L57)</f>
        <v>0</v>
      </c>
      <c r="M54" s="200">
        <f t="shared" ref="M54:O54" si="37">SUM(M55:M57)</f>
        <v>0</v>
      </c>
      <c r="N54" s="200">
        <f t="shared" si="37"/>
        <v>0</v>
      </c>
      <c r="O54" s="200">
        <f t="shared" si="37"/>
        <v>0</v>
      </c>
      <c r="P54" s="254">
        <f>SUM(P55:P57)</f>
        <v>0</v>
      </c>
      <c r="Q54" s="254">
        <f t="shared" ref="Q54:S54" si="38">SUM(Q55:Q57)</f>
        <v>0</v>
      </c>
      <c r="R54" s="254">
        <f t="shared" si="38"/>
        <v>0</v>
      </c>
      <c r="S54" s="254">
        <f t="shared" si="38"/>
        <v>0</v>
      </c>
      <c r="T54" s="150">
        <f>H54+L54</f>
        <v>0</v>
      </c>
      <c r="U54" s="258">
        <f t="shared" ref="U54:U60" si="39">I54+M54+Q54</f>
        <v>0</v>
      </c>
      <c r="V54" s="150">
        <f t="shared" si="21"/>
        <v>0</v>
      </c>
      <c r="W54" s="150">
        <f t="shared" si="22"/>
        <v>0</v>
      </c>
      <c r="X54" s="164"/>
      <c r="Y54" s="105"/>
      <c r="Z54" s="424"/>
    </row>
    <row r="55" spans="1:26">
      <c r="A55" s="314"/>
      <c r="B55" s="41" t="s">
        <v>31</v>
      </c>
      <c r="C55" s="338"/>
      <c r="D55" s="393"/>
      <c r="E55" s="352"/>
      <c r="F55" s="352"/>
      <c r="G55" s="139">
        <v>0</v>
      </c>
      <c r="H55" s="163"/>
      <c r="I55" s="163"/>
      <c r="J55" s="163"/>
      <c r="K55" s="163"/>
      <c r="L55" s="139">
        <v>0</v>
      </c>
      <c r="M55" s="163"/>
      <c r="N55" s="163"/>
      <c r="O55" s="163"/>
      <c r="P55" s="253">
        <v>0</v>
      </c>
      <c r="Q55" s="163"/>
      <c r="R55" s="163"/>
      <c r="S55" s="163"/>
      <c r="T55" s="151">
        <f>H55+L55</f>
        <v>0</v>
      </c>
      <c r="U55" s="258">
        <f t="shared" si="39"/>
        <v>0</v>
      </c>
      <c r="V55" s="151">
        <f t="shared" si="21"/>
        <v>0</v>
      </c>
      <c r="W55" s="151">
        <f t="shared" si="22"/>
        <v>0</v>
      </c>
      <c r="X55" s="163"/>
      <c r="Y55" s="165"/>
      <c r="Z55" s="424"/>
    </row>
    <row r="56" spans="1:26">
      <c r="A56" s="314"/>
      <c r="B56" s="41" t="s">
        <v>32</v>
      </c>
      <c r="C56" s="338"/>
      <c r="D56" s="393"/>
      <c r="E56" s="352"/>
      <c r="F56" s="352"/>
      <c r="G56" s="139">
        <v>0</v>
      </c>
      <c r="H56" s="163"/>
      <c r="I56" s="163"/>
      <c r="J56" s="163"/>
      <c r="K56" s="163"/>
      <c r="L56" s="139">
        <v>0</v>
      </c>
      <c r="M56" s="163"/>
      <c r="N56" s="163"/>
      <c r="O56" s="163"/>
      <c r="P56" s="253">
        <v>0</v>
      </c>
      <c r="Q56" s="163"/>
      <c r="R56" s="163"/>
      <c r="S56" s="163"/>
      <c r="T56" s="151">
        <f t="shared" ref="T56:T60" si="40">H56+L56</f>
        <v>0</v>
      </c>
      <c r="U56" s="258">
        <f t="shared" si="39"/>
        <v>0</v>
      </c>
      <c r="V56" s="151">
        <f t="shared" si="21"/>
        <v>0</v>
      </c>
      <c r="W56" s="151">
        <f t="shared" si="22"/>
        <v>0</v>
      </c>
      <c r="X56" s="163"/>
      <c r="Y56" s="165"/>
      <c r="Z56" s="424"/>
    </row>
    <row r="57" spans="1:26">
      <c r="A57" s="314"/>
      <c r="B57" s="41" t="s">
        <v>33</v>
      </c>
      <c r="C57" s="338"/>
      <c r="D57" s="393"/>
      <c r="E57" s="352"/>
      <c r="F57" s="352"/>
      <c r="G57" s="139">
        <v>0</v>
      </c>
      <c r="H57" s="139"/>
      <c r="I57" s="139"/>
      <c r="J57" s="139"/>
      <c r="K57" s="139"/>
      <c r="L57" s="139">
        <v>0</v>
      </c>
      <c r="M57" s="139"/>
      <c r="N57" s="139"/>
      <c r="O57" s="139"/>
      <c r="P57" s="253">
        <v>0</v>
      </c>
      <c r="Q57" s="253"/>
      <c r="R57" s="253"/>
      <c r="S57" s="253"/>
      <c r="T57" s="151">
        <f t="shared" si="40"/>
        <v>0</v>
      </c>
      <c r="U57" s="258">
        <f t="shared" si="39"/>
        <v>0</v>
      </c>
      <c r="V57" s="151">
        <f t="shared" si="21"/>
        <v>0</v>
      </c>
      <c r="W57" s="151">
        <f t="shared" si="22"/>
        <v>0</v>
      </c>
      <c r="X57" s="139"/>
      <c r="Y57" s="165"/>
      <c r="Z57" s="424"/>
    </row>
    <row r="58" spans="1:26">
      <c r="A58" s="314"/>
      <c r="B58" s="23" t="s">
        <v>37</v>
      </c>
      <c r="C58" s="391"/>
      <c r="D58" s="393"/>
      <c r="E58" s="393"/>
      <c r="F58" s="393"/>
      <c r="G58" s="140">
        <v>0</v>
      </c>
      <c r="H58" s="166"/>
      <c r="I58" s="166"/>
      <c r="J58" s="166"/>
      <c r="K58" s="166"/>
      <c r="L58" s="140">
        <v>0</v>
      </c>
      <c r="M58" s="200">
        <v>0</v>
      </c>
      <c r="N58" s="200">
        <v>0</v>
      </c>
      <c r="O58" s="214">
        <v>0</v>
      </c>
      <c r="P58" s="254">
        <v>0</v>
      </c>
      <c r="Q58" s="254">
        <v>0</v>
      </c>
      <c r="R58" s="254">
        <v>0</v>
      </c>
      <c r="S58" s="254">
        <v>0</v>
      </c>
      <c r="T58" s="150">
        <f>H58+L58</f>
        <v>0</v>
      </c>
      <c r="U58" s="258">
        <f t="shared" si="39"/>
        <v>0</v>
      </c>
      <c r="V58" s="150">
        <f t="shared" si="21"/>
        <v>0</v>
      </c>
      <c r="W58" s="150">
        <f t="shared" si="22"/>
        <v>0</v>
      </c>
      <c r="X58" s="65"/>
      <c r="Y58" s="25"/>
      <c r="Z58" s="424"/>
    </row>
    <row r="59" spans="1:26">
      <c r="A59" s="314"/>
      <c r="B59" s="23" t="s">
        <v>38</v>
      </c>
      <c r="C59" s="391"/>
      <c r="D59" s="393"/>
      <c r="E59" s="393"/>
      <c r="F59" s="393"/>
      <c r="G59" s="140">
        <v>75000</v>
      </c>
      <c r="H59" s="166"/>
      <c r="I59" s="166"/>
      <c r="J59" s="166"/>
      <c r="K59" s="166"/>
      <c r="L59" s="167">
        <v>75000</v>
      </c>
      <c r="M59" s="166"/>
      <c r="N59" s="166"/>
      <c r="O59" s="166"/>
      <c r="P59" s="167">
        <v>0</v>
      </c>
      <c r="Q59" s="166"/>
      <c r="R59" s="166"/>
      <c r="S59" s="166"/>
      <c r="T59" s="167">
        <f t="shared" si="40"/>
        <v>75000</v>
      </c>
      <c r="U59" s="257">
        <f t="shared" si="39"/>
        <v>0</v>
      </c>
      <c r="V59" s="283">
        <f t="shared" ref="V59:V62" si="41">J59+N59+R59</f>
        <v>0</v>
      </c>
      <c r="W59" s="283">
        <f t="shared" ref="W59:W62" si="42">K59+O59+S59</f>
        <v>0</v>
      </c>
      <c r="X59" s="65">
        <v>75000</v>
      </c>
      <c r="Y59" s="25"/>
      <c r="Z59" s="424"/>
    </row>
    <row r="60" spans="1:26">
      <c r="A60" s="315"/>
      <c r="B60" s="22" t="s">
        <v>118</v>
      </c>
      <c r="C60" s="392"/>
      <c r="D60" s="394"/>
      <c r="E60" s="394"/>
      <c r="F60" s="394"/>
      <c r="G60" s="140">
        <v>386100</v>
      </c>
      <c r="H60" s="140">
        <v>289575</v>
      </c>
      <c r="I60" s="140"/>
      <c r="J60" s="140"/>
      <c r="K60" s="140"/>
      <c r="L60" s="140">
        <f>G60-H60</f>
        <v>96525</v>
      </c>
      <c r="M60" s="237">
        <f>1481.137+7692.159+7924.628+5197.282+4287.631</f>
        <v>26582.837</v>
      </c>
      <c r="N60" s="241">
        <f>1110.853+5769.119+5943.471+3897.961+378933.765</f>
        <v>395655.16899999999</v>
      </c>
      <c r="O60" s="241">
        <f>1110.853+5769.119+5943.471+3897.961</f>
        <v>16721.403999999999</v>
      </c>
      <c r="P60" s="254">
        <v>0</v>
      </c>
      <c r="Q60" s="254">
        <v>0</v>
      </c>
      <c r="R60" s="254">
        <v>0</v>
      </c>
      <c r="S60" s="254">
        <v>0</v>
      </c>
      <c r="T60" s="150">
        <f t="shared" si="40"/>
        <v>386100</v>
      </c>
      <c r="U60" s="257">
        <f t="shared" si="39"/>
        <v>26582.837</v>
      </c>
      <c r="V60" s="283">
        <f t="shared" si="41"/>
        <v>395655.16899999999</v>
      </c>
      <c r="W60" s="283">
        <f t="shared" si="42"/>
        <v>16721.403999999999</v>
      </c>
      <c r="X60" s="140">
        <v>96525</v>
      </c>
      <c r="Y60" s="25"/>
      <c r="Z60" s="425"/>
    </row>
    <row r="61" spans="1:26" ht="12.75" customHeight="1">
      <c r="A61" s="313" t="s">
        <v>71</v>
      </c>
      <c r="B61" s="16" t="s">
        <v>137</v>
      </c>
      <c r="C61" s="395" t="s">
        <v>43</v>
      </c>
      <c r="D61" s="404" t="s">
        <v>135</v>
      </c>
      <c r="E61" s="323">
        <v>60</v>
      </c>
      <c r="F61" s="328" t="s">
        <v>17</v>
      </c>
      <c r="G61" s="25">
        <f>G62+G73+G75+G79+G80</f>
        <v>9837.7000000000007</v>
      </c>
      <c r="H61" s="25">
        <f>H62+H73+H75+H79+H80</f>
        <v>9837.7000000000007</v>
      </c>
      <c r="I61" s="25">
        <f t="shared" ref="I61:O61" si="43">I62+I73+I75+I79+I80</f>
        <v>8455.1130000000012</v>
      </c>
      <c r="J61" s="25">
        <f t="shared" si="43"/>
        <v>4793.5429999999997</v>
      </c>
      <c r="K61" s="25">
        <f t="shared" si="43"/>
        <v>4793.5429999999997</v>
      </c>
      <c r="L61" s="25">
        <f t="shared" si="43"/>
        <v>0</v>
      </c>
      <c r="M61" s="25">
        <f t="shared" si="43"/>
        <v>0</v>
      </c>
      <c r="N61" s="25">
        <f t="shared" si="43"/>
        <v>0</v>
      </c>
      <c r="O61" s="25">
        <f t="shared" si="43"/>
        <v>0</v>
      </c>
      <c r="P61" s="25">
        <f t="shared" ref="P61:S61" si="44">P62+P73+P75+P79+P80</f>
        <v>0</v>
      </c>
      <c r="Q61" s="25">
        <f t="shared" si="44"/>
        <v>0</v>
      </c>
      <c r="R61" s="25">
        <f t="shared" si="44"/>
        <v>0</v>
      </c>
      <c r="S61" s="25">
        <f t="shared" si="44"/>
        <v>0</v>
      </c>
      <c r="T61" s="25">
        <f>H61+L61</f>
        <v>9837.7000000000007</v>
      </c>
      <c r="U61" s="25">
        <f>I61+M61+Q61</f>
        <v>8455.1130000000012</v>
      </c>
      <c r="V61" s="25">
        <f t="shared" si="41"/>
        <v>4793.5429999999997</v>
      </c>
      <c r="W61" s="25">
        <f t="shared" si="42"/>
        <v>4793.5429999999997</v>
      </c>
      <c r="X61" s="140"/>
      <c r="Y61" s="140"/>
      <c r="Z61" s="360"/>
    </row>
    <row r="62" spans="1:26">
      <c r="A62" s="314"/>
      <c r="B62" s="22" t="s">
        <v>28</v>
      </c>
      <c r="C62" s="322"/>
      <c r="D62" s="408"/>
      <c r="E62" s="396"/>
      <c r="F62" s="329"/>
      <c r="G62" s="323">
        <f>SUM(H62)</f>
        <v>9837.7000000000007</v>
      </c>
      <c r="H62" s="323">
        <v>9837.7000000000007</v>
      </c>
      <c r="I62" s="323">
        <f>SUM(I69:I72)</f>
        <v>8455.1130000000012</v>
      </c>
      <c r="J62" s="323">
        <f>SUM(J69:J72)</f>
        <v>4793.5429999999997</v>
      </c>
      <c r="K62" s="323">
        <f>SUM(K69:K72)</f>
        <v>4793.5429999999997</v>
      </c>
      <c r="L62" s="323">
        <v>0</v>
      </c>
      <c r="M62" s="134"/>
      <c r="N62" s="134"/>
      <c r="O62" s="134"/>
      <c r="P62" s="323">
        <v>0</v>
      </c>
      <c r="Q62" s="245"/>
      <c r="R62" s="245"/>
      <c r="S62" s="245"/>
      <c r="T62" s="323">
        <f t="shared" ref="T62:T63" si="45">H62+L62</f>
        <v>9837.7000000000007</v>
      </c>
      <c r="U62" s="323">
        <f>I62+M62+Q62</f>
        <v>8455.1130000000012</v>
      </c>
      <c r="V62" s="323">
        <f t="shared" si="41"/>
        <v>4793.5429999999997</v>
      </c>
      <c r="W62" s="323">
        <f t="shared" si="42"/>
        <v>4793.5429999999997</v>
      </c>
      <c r="X62" s="323"/>
      <c r="Y62" s="323"/>
      <c r="Z62" s="393"/>
    </row>
    <row r="63" spans="1:26">
      <c r="A63" s="314"/>
      <c r="B63" s="40" t="s">
        <v>27</v>
      </c>
      <c r="C63" s="322"/>
      <c r="D63" s="408"/>
      <c r="E63" s="396"/>
      <c r="F63" s="329"/>
      <c r="G63" s="394"/>
      <c r="H63" s="324"/>
      <c r="I63" s="324"/>
      <c r="J63" s="324"/>
      <c r="K63" s="324"/>
      <c r="L63" s="324"/>
      <c r="M63" s="136"/>
      <c r="N63" s="136"/>
      <c r="O63" s="136"/>
      <c r="P63" s="324"/>
      <c r="Q63" s="247"/>
      <c r="R63" s="247"/>
      <c r="S63" s="247"/>
      <c r="T63" s="324">
        <f t="shared" si="45"/>
        <v>0</v>
      </c>
      <c r="U63" s="324">
        <f t="shared" si="28"/>
        <v>0</v>
      </c>
      <c r="V63" s="324">
        <f t="shared" ref="V63" si="46">J63+N63</f>
        <v>0</v>
      </c>
      <c r="W63" s="324">
        <f t="shared" ref="W63" si="47">K63+O63</f>
        <v>0</v>
      </c>
      <c r="X63" s="324"/>
      <c r="Y63" s="324"/>
      <c r="Z63" s="393"/>
    </row>
    <row r="64" spans="1:26" ht="12.75" hidden="1" customHeight="1">
      <c r="A64" s="314"/>
      <c r="B64" s="75" t="s">
        <v>140</v>
      </c>
      <c r="C64" s="322"/>
      <c r="D64" s="408"/>
      <c r="E64" s="396"/>
      <c r="F64" s="329"/>
      <c r="G64" s="105"/>
      <c r="H64" s="76">
        <v>303.26</v>
      </c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136"/>
      <c r="Y64" s="136"/>
      <c r="Z64" s="393"/>
    </row>
    <row r="65" spans="1:26" ht="12.75" hidden="1" customHeight="1">
      <c r="A65" s="314"/>
      <c r="B65" s="75" t="s">
        <v>141</v>
      </c>
      <c r="C65" s="322"/>
      <c r="D65" s="408"/>
      <c r="E65" s="396"/>
      <c r="F65" s="329"/>
      <c r="G65" s="105"/>
      <c r="H65" s="76">
        <f>-919.371+912.82+196.99+198.681+155.912+152.136+142.429+150.207+145.399+146.865+153.941</f>
        <v>1436.009</v>
      </c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136"/>
      <c r="Y65" s="136"/>
      <c r="Z65" s="393"/>
    </row>
    <row r="66" spans="1:26" ht="12.75" hidden="1" customHeight="1">
      <c r="A66" s="314"/>
      <c r="B66" s="75" t="s">
        <v>142</v>
      </c>
      <c r="C66" s="322"/>
      <c r="D66" s="408"/>
      <c r="E66" s="396"/>
      <c r="F66" s="329"/>
      <c r="G66" s="105"/>
      <c r="H66" s="76">
        <f>-780.345+575.072+124.103+125.168+101.058+103.833+97.208+102.516+99.235+105.222+100.236</f>
        <v>753.30599999999993</v>
      </c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136"/>
      <c r="Y66" s="136"/>
      <c r="Z66" s="393"/>
    </row>
    <row r="67" spans="1:26" ht="12.75" hidden="1" customHeight="1">
      <c r="A67" s="314"/>
      <c r="B67" s="75" t="s">
        <v>143</v>
      </c>
      <c r="C67" s="322"/>
      <c r="D67" s="408"/>
      <c r="E67" s="396"/>
      <c r="F67" s="329"/>
      <c r="G67" s="105"/>
      <c r="H67" s="76">
        <f>192.652+39.837+41.169+43.065+37.273+41.266+38.633+40.743+39.439</f>
        <v>514.077</v>
      </c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136"/>
      <c r="Y67" s="136"/>
      <c r="Z67" s="393"/>
    </row>
    <row r="68" spans="1:26" ht="12.75" hidden="1" customHeight="1">
      <c r="A68" s="314"/>
      <c r="B68" s="75" t="s">
        <v>144</v>
      </c>
      <c r="C68" s="322"/>
      <c r="D68" s="408"/>
      <c r="E68" s="396"/>
      <c r="F68" s="329"/>
      <c r="G68" s="105"/>
      <c r="H68" s="76">
        <f>1102.208+718.69+1700</f>
        <v>3520.8980000000001</v>
      </c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136"/>
      <c r="Y68" s="136"/>
      <c r="Z68" s="393"/>
    </row>
    <row r="69" spans="1:26" s="169" customFormat="1" ht="13.5" hidden="1" customHeight="1">
      <c r="A69" s="314"/>
      <c r="B69" s="115" t="s">
        <v>140</v>
      </c>
      <c r="C69" s="322"/>
      <c r="D69" s="408"/>
      <c r="E69" s="396"/>
      <c r="F69" s="329"/>
      <c r="G69" s="168"/>
      <c r="H69" s="117"/>
      <c r="I69" s="119">
        <v>303.26</v>
      </c>
      <c r="J69" s="101">
        <f>293.874+293.874+391.832+490.405</f>
        <v>1469.9850000000001</v>
      </c>
      <c r="K69" s="101">
        <f>293.874+293.874+391.832+490.405</f>
        <v>1469.9850000000001</v>
      </c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118"/>
      <c r="Y69" s="118"/>
      <c r="Z69" s="393"/>
    </row>
    <row r="70" spans="1:26" s="169" customFormat="1" ht="13.5" hidden="1" customHeight="1">
      <c r="A70" s="314"/>
      <c r="B70" s="115" t="s">
        <v>173</v>
      </c>
      <c r="C70" s="322"/>
      <c r="D70" s="408"/>
      <c r="E70" s="396"/>
      <c r="F70" s="329"/>
      <c r="G70" s="168"/>
      <c r="H70" s="117"/>
      <c r="I70" s="119">
        <v>4828.2950000000001</v>
      </c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8"/>
      <c r="Y70" s="118"/>
      <c r="Z70" s="393"/>
    </row>
    <row r="71" spans="1:26" s="169" customFormat="1" ht="13.5" hidden="1" customHeight="1">
      <c r="A71" s="314"/>
      <c r="B71" s="115" t="s">
        <v>183</v>
      </c>
      <c r="C71" s="322"/>
      <c r="D71" s="408"/>
      <c r="E71" s="396"/>
      <c r="F71" s="329"/>
      <c r="G71" s="168"/>
      <c r="H71" s="117"/>
      <c r="I71" s="119">
        <f>1102.208+718.69+1502.66</f>
        <v>3323.558</v>
      </c>
      <c r="J71" s="103">
        <f>660.043+350+442.165+368.69+500+1002.66</f>
        <v>3323.558</v>
      </c>
      <c r="K71" s="103">
        <f>660.043+350+442.165+368.69+500+1002.66</f>
        <v>3323.558</v>
      </c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18"/>
      <c r="Y71" s="118"/>
      <c r="Z71" s="393"/>
    </row>
    <row r="72" spans="1:26" s="169" customFormat="1" ht="13.5" hidden="1" customHeight="1">
      <c r="A72" s="314"/>
      <c r="B72" s="115"/>
      <c r="C72" s="322"/>
      <c r="D72" s="408"/>
      <c r="E72" s="396"/>
      <c r="F72" s="329"/>
      <c r="G72" s="168"/>
      <c r="H72" s="117"/>
      <c r="I72" s="119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8"/>
      <c r="Y72" s="118"/>
      <c r="Z72" s="393"/>
    </row>
    <row r="73" spans="1:26">
      <c r="A73" s="314"/>
      <c r="B73" s="23" t="s">
        <v>29</v>
      </c>
      <c r="C73" s="322"/>
      <c r="D73" s="408"/>
      <c r="E73" s="396"/>
      <c r="F73" s="329"/>
      <c r="G73" s="140">
        <v>0</v>
      </c>
      <c r="H73" s="136"/>
      <c r="I73" s="136"/>
      <c r="J73" s="136"/>
      <c r="K73" s="136"/>
      <c r="L73" s="140">
        <v>0</v>
      </c>
      <c r="M73" s="136"/>
      <c r="N73" s="136"/>
      <c r="O73" s="136"/>
      <c r="P73" s="254">
        <v>0</v>
      </c>
      <c r="Q73" s="247"/>
      <c r="R73" s="247"/>
      <c r="S73" s="247"/>
      <c r="T73" s="150">
        <f>H73+L73</f>
        <v>0</v>
      </c>
      <c r="U73" s="150">
        <f>I73+M73+Q73</f>
        <v>0</v>
      </c>
      <c r="V73" s="150">
        <f t="shared" ref="U73:W88" si="48">J73+N73</f>
        <v>0</v>
      </c>
      <c r="W73" s="150">
        <f t="shared" si="48"/>
        <v>0</v>
      </c>
      <c r="X73" s="136"/>
      <c r="Y73" s="136"/>
      <c r="Z73" s="393"/>
    </row>
    <row r="74" spans="1:26">
      <c r="A74" s="314"/>
      <c r="B74" s="41" t="s">
        <v>39</v>
      </c>
      <c r="C74" s="322"/>
      <c r="D74" s="408"/>
      <c r="E74" s="396"/>
      <c r="F74" s="329"/>
      <c r="G74" s="139">
        <v>0</v>
      </c>
      <c r="H74" s="136"/>
      <c r="I74" s="136"/>
      <c r="J74" s="136"/>
      <c r="K74" s="136"/>
      <c r="L74" s="139">
        <v>0</v>
      </c>
      <c r="M74" s="136"/>
      <c r="N74" s="136"/>
      <c r="O74" s="136"/>
      <c r="P74" s="253">
        <v>0</v>
      </c>
      <c r="Q74" s="247"/>
      <c r="R74" s="247"/>
      <c r="S74" s="247"/>
      <c r="T74" s="151">
        <f t="shared" ref="T74:T91" si="49">H74+L74</f>
        <v>0</v>
      </c>
      <c r="U74" s="151">
        <f>I74+M74+Q74</f>
        <v>0</v>
      </c>
      <c r="V74" s="151">
        <f t="shared" si="48"/>
        <v>0</v>
      </c>
      <c r="W74" s="151">
        <f t="shared" si="48"/>
        <v>0</v>
      </c>
      <c r="X74" s="136"/>
      <c r="Y74" s="136"/>
      <c r="Z74" s="393"/>
    </row>
    <row r="75" spans="1:26">
      <c r="A75" s="314"/>
      <c r="B75" s="23" t="s">
        <v>30</v>
      </c>
      <c r="C75" s="322"/>
      <c r="D75" s="408"/>
      <c r="E75" s="396"/>
      <c r="F75" s="329"/>
      <c r="G75" s="140">
        <v>0</v>
      </c>
      <c r="H75" s="136"/>
      <c r="I75" s="136"/>
      <c r="J75" s="136"/>
      <c r="K75" s="136"/>
      <c r="L75" s="140">
        <v>0</v>
      </c>
      <c r="M75" s="136"/>
      <c r="N75" s="136"/>
      <c r="O75" s="136"/>
      <c r="P75" s="254">
        <v>0</v>
      </c>
      <c r="Q75" s="247"/>
      <c r="R75" s="247"/>
      <c r="S75" s="247"/>
      <c r="T75" s="150">
        <f t="shared" si="49"/>
        <v>0</v>
      </c>
      <c r="U75" s="150">
        <f>I75+M75+Q75</f>
        <v>0</v>
      </c>
      <c r="V75" s="150">
        <f t="shared" si="48"/>
        <v>0</v>
      </c>
      <c r="W75" s="150">
        <f t="shared" si="48"/>
        <v>0</v>
      </c>
      <c r="X75" s="136"/>
      <c r="Y75" s="136"/>
      <c r="Z75" s="393"/>
    </row>
    <row r="76" spans="1:26">
      <c r="A76" s="314"/>
      <c r="B76" s="41" t="s">
        <v>31</v>
      </c>
      <c r="C76" s="391"/>
      <c r="D76" s="408"/>
      <c r="E76" s="396"/>
      <c r="F76" s="329"/>
      <c r="G76" s="139">
        <v>0</v>
      </c>
      <c r="H76" s="140"/>
      <c r="I76" s="140"/>
      <c r="J76" s="140"/>
      <c r="K76" s="140"/>
      <c r="L76" s="139">
        <v>0</v>
      </c>
      <c r="M76" s="140"/>
      <c r="N76" s="140"/>
      <c r="O76" s="140"/>
      <c r="P76" s="253">
        <v>0</v>
      </c>
      <c r="Q76" s="254"/>
      <c r="R76" s="254"/>
      <c r="S76" s="254"/>
      <c r="T76" s="151">
        <f t="shared" si="49"/>
        <v>0</v>
      </c>
      <c r="U76" s="151">
        <f>I76+M76+Q76</f>
        <v>0</v>
      </c>
      <c r="V76" s="151">
        <f t="shared" si="48"/>
        <v>0</v>
      </c>
      <c r="W76" s="151">
        <f t="shared" si="48"/>
        <v>0</v>
      </c>
      <c r="X76" s="140"/>
      <c r="Y76" s="140"/>
      <c r="Z76" s="393"/>
    </row>
    <row r="77" spans="1:26">
      <c r="A77" s="314"/>
      <c r="B77" s="41" t="s">
        <v>32</v>
      </c>
      <c r="C77" s="391"/>
      <c r="D77" s="408"/>
      <c r="E77" s="396"/>
      <c r="F77" s="329"/>
      <c r="G77" s="139">
        <v>0</v>
      </c>
      <c r="H77" s="140"/>
      <c r="I77" s="140"/>
      <c r="J77" s="140"/>
      <c r="K77" s="140"/>
      <c r="L77" s="139">
        <v>0</v>
      </c>
      <c r="M77" s="140"/>
      <c r="N77" s="140"/>
      <c r="O77" s="140"/>
      <c r="P77" s="253">
        <v>0</v>
      </c>
      <c r="Q77" s="254"/>
      <c r="R77" s="254"/>
      <c r="S77" s="254"/>
      <c r="T77" s="151">
        <f t="shared" si="49"/>
        <v>0</v>
      </c>
      <c r="U77" s="258">
        <f t="shared" ref="U77:U78" si="50">I77+M77+Q77</f>
        <v>0</v>
      </c>
      <c r="V77" s="151">
        <f t="shared" si="48"/>
        <v>0</v>
      </c>
      <c r="W77" s="151">
        <f t="shared" si="48"/>
        <v>0</v>
      </c>
      <c r="X77" s="140"/>
      <c r="Y77" s="140"/>
      <c r="Z77" s="393"/>
    </row>
    <row r="78" spans="1:26">
      <c r="A78" s="314"/>
      <c r="B78" s="41" t="s">
        <v>33</v>
      </c>
      <c r="C78" s="391"/>
      <c r="D78" s="408"/>
      <c r="E78" s="396"/>
      <c r="F78" s="329"/>
      <c r="G78" s="139">
        <v>0</v>
      </c>
      <c r="H78" s="140"/>
      <c r="I78" s="140"/>
      <c r="J78" s="140"/>
      <c r="K78" s="140"/>
      <c r="L78" s="139">
        <v>0</v>
      </c>
      <c r="M78" s="140"/>
      <c r="N78" s="140"/>
      <c r="O78" s="140"/>
      <c r="P78" s="253">
        <v>0</v>
      </c>
      <c r="Q78" s="254"/>
      <c r="R78" s="254"/>
      <c r="S78" s="254"/>
      <c r="T78" s="151">
        <f t="shared" si="49"/>
        <v>0</v>
      </c>
      <c r="U78" s="258">
        <f t="shared" si="50"/>
        <v>0</v>
      </c>
      <c r="V78" s="151">
        <f t="shared" si="48"/>
        <v>0</v>
      </c>
      <c r="W78" s="151">
        <f t="shared" si="48"/>
        <v>0</v>
      </c>
      <c r="X78" s="140"/>
      <c r="Y78" s="140"/>
      <c r="Z78" s="393"/>
    </row>
    <row r="79" spans="1:26">
      <c r="A79" s="314"/>
      <c r="B79" s="23" t="s">
        <v>37</v>
      </c>
      <c r="C79" s="391"/>
      <c r="D79" s="408"/>
      <c r="E79" s="397"/>
      <c r="F79" s="393"/>
      <c r="G79" s="140">
        <v>0</v>
      </c>
      <c r="H79" s="140"/>
      <c r="I79" s="140"/>
      <c r="J79" s="140"/>
      <c r="K79" s="140"/>
      <c r="L79" s="140">
        <v>0</v>
      </c>
      <c r="M79" s="140"/>
      <c r="N79" s="140"/>
      <c r="O79" s="140"/>
      <c r="P79" s="254">
        <v>0</v>
      </c>
      <c r="Q79" s="254"/>
      <c r="R79" s="254"/>
      <c r="S79" s="254"/>
      <c r="T79" s="150">
        <f t="shared" si="49"/>
        <v>0</v>
      </c>
      <c r="U79" s="257">
        <f>I79+M79+Q79</f>
        <v>0</v>
      </c>
      <c r="V79" s="150">
        <f t="shared" si="48"/>
        <v>0</v>
      </c>
      <c r="W79" s="150">
        <f t="shared" si="48"/>
        <v>0</v>
      </c>
      <c r="X79" s="140"/>
      <c r="Y79" s="140"/>
      <c r="Z79" s="393"/>
    </row>
    <row r="80" spans="1:26">
      <c r="A80" s="315"/>
      <c r="B80" s="23" t="s">
        <v>38</v>
      </c>
      <c r="C80" s="392"/>
      <c r="D80" s="409"/>
      <c r="E80" s="398"/>
      <c r="F80" s="394"/>
      <c r="G80" s="140">
        <v>0</v>
      </c>
      <c r="H80" s="140"/>
      <c r="I80" s="140"/>
      <c r="J80" s="140"/>
      <c r="K80" s="140"/>
      <c r="L80" s="140">
        <v>0</v>
      </c>
      <c r="M80" s="140"/>
      <c r="N80" s="140"/>
      <c r="O80" s="140"/>
      <c r="P80" s="254">
        <v>0</v>
      </c>
      <c r="Q80" s="254"/>
      <c r="R80" s="254"/>
      <c r="S80" s="254"/>
      <c r="T80" s="150">
        <f t="shared" si="49"/>
        <v>0</v>
      </c>
      <c r="U80" s="257">
        <f>I80+M80+Q80</f>
        <v>0</v>
      </c>
      <c r="V80" s="150">
        <f t="shared" si="48"/>
        <v>0</v>
      </c>
      <c r="W80" s="150">
        <f t="shared" si="48"/>
        <v>0</v>
      </c>
      <c r="X80" s="140"/>
      <c r="Y80" s="140"/>
      <c r="Z80" s="394"/>
    </row>
    <row r="81" spans="1:26" ht="12.75" hidden="1" customHeight="1">
      <c r="A81" s="313" t="s">
        <v>83</v>
      </c>
      <c r="B81" s="16" t="s">
        <v>136</v>
      </c>
      <c r="C81" s="395" t="s">
        <v>43</v>
      </c>
      <c r="D81" s="404" t="s">
        <v>135</v>
      </c>
      <c r="E81" s="323">
        <v>7.32</v>
      </c>
      <c r="F81" s="328" t="s">
        <v>18</v>
      </c>
      <c r="G81" s="25">
        <f>G82+G84+G86+G90+G91</f>
        <v>0</v>
      </c>
      <c r="H81" s="140"/>
      <c r="I81" s="140"/>
      <c r="J81" s="140"/>
      <c r="K81" s="140"/>
      <c r="L81" s="140"/>
      <c r="M81" s="140"/>
      <c r="N81" s="140"/>
      <c r="O81" s="140"/>
      <c r="P81" s="254"/>
      <c r="Q81" s="254"/>
      <c r="R81" s="254"/>
      <c r="S81" s="254"/>
      <c r="T81" s="144">
        <f t="shared" si="49"/>
        <v>0</v>
      </c>
      <c r="U81" s="144">
        <f t="shared" si="48"/>
        <v>0</v>
      </c>
      <c r="V81" s="144">
        <f t="shared" si="48"/>
        <v>0</v>
      </c>
      <c r="W81" s="144">
        <f t="shared" si="48"/>
        <v>0</v>
      </c>
      <c r="X81" s="140"/>
      <c r="Y81" s="140"/>
      <c r="Z81" s="321"/>
    </row>
    <row r="82" spans="1:26" ht="12.75" hidden="1" customHeight="1">
      <c r="A82" s="314"/>
      <c r="B82" s="22" t="s">
        <v>28</v>
      </c>
      <c r="C82" s="322"/>
      <c r="D82" s="408"/>
      <c r="E82" s="396"/>
      <c r="F82" s="329"/>
      <c r="G82" s="323">
        <f>H82+X82+Y82</f>
        <v>0</v>
      </c>
      <c r="H82" s="323"/>
      <c r="I82" s="134"/>
      <c r="J82" s="134"/>
      <c r="K82" s="134"/>
      <c r="L82" s="134"/>
      <c r="M82" s="134"/>
      <c r="N82" s="134"/>
      <c r="O82" s="134"/>
      <c r="P82" s="245"/>
      <c r="Q82" s="245"/>
      <c r="R82" s="245"/>
      <c r="S82" s="245"/>
      <c r="T82" s="144">
        <f t="shared" si="49"/>
        <v>0</v>
      </c>
      <c r="U82" s="144">
        <f t="shared" si="48"/>
        <v>0</v>
      </c>
      <c r="V82" s="144">
        <f t="shared" si="48"/>
        <v>0</v>
      </c>
      <c r="W82" s="144">
        <f t="shared" si="48"/>
        <v>0</v>
      </c>
      <c r="X82" s="323"/>
      <c r="Y82" s="323"/>
      <c r="Z82" s="391"/>
    </row>
    <row r="83" spans="1:26" ht="12.75" hidden="1" customHeight="1">
      <c r="A83" s="314"/>
      <c r="B83" s="40" t="s">
        <v>27</v>
      </c>
      <c r="C83" s="322"/>
      <c r="D83" s="408"/>
      <c r="E83" s="396"/>
      <c r="F83" s="329"/>
      <c r="G83" s="394"/>
      <c r="H83" s="324"/>
      <c r="I83" s="136"/>
      <c r="J83" s="136"/>
      <c r="K83" s="136"/>
      <c r="L83" s="136"/>
      <c r="M83" s="136"/>
      <c r="N83" s="136"/>
      <c r="O83" s="136"/>
      <c r="P83" s="247"/>
      <c r="Q83" s="247"/>
      <c r="R83" s="247"/>
      <c r="S83" s="247"/>
      <c r="T83" s="144">
        <f t="shared" si="49"/>
        <v>0</v>
      </c>
      <c r="U83" s="144">
        <f t="shared" si="48"/>
        <v>0</v>
      </c>
      <c r="V83" s="144">
        <f t="shared" si="48"/>
        <v>0</v>
      </c>
      <c r="W83" s="144">
        <f t="shared" si="48"/>
        <v>0</v>
      </c>
      <c r="X83" s="324"/>
      <c r="Y83" s="324"/>
      <c r="Z83" s="391"/>
    </row>
    <row r="84" spans="1:26" ht="12.75" hidden="1" customHeight="1">
      <c r="A84" s="314"/>
      <c r="B84" s="23" t="s">
        <v>29</v>
      </c>
      <c r="C84" s="322"/>
      <c r="D84" s="408"/>
      <c r="E84" s="396"/>
      <c r="F84" s="329"/>
      <c r="G84" s="140">
        <f>SUM(G85)</f>
        <v>0</v>
      </c>
      <c r="H84" s="136"/>
      <c r="I84" s="136"/>
      <c r="J84" s="136"/>
      <c r="K84" s="136"/>
      <c r="L84" s="136"/>
      <c r="M84" s="136"/>
      <c r="N84" s="136"/>
      <c r="O84" s="136"/>
      <c r="P84" s="247"/>
      <c r="Q84" s="247"/>
      <c r="R84" s="247"/>
      <c r="S84" s="247"/>
      <c r="T84" s="144">
        <f t="shared" si="49"/>
        <v>0</v>
      </c>
      <c r="U84" s="144">
        <f t="shared" si="48"/>
        <v>0</v>
      </c>
      <c r="V84" s="144">
        <f t="shared" si="48"/>
        <v>0</v>
      </c>
      <c r="W84" s="144">
        <f t="shared" si="48"/>
        <v>0</v>
      </c>
      <c r="X84" s="136"/>
      <c r="Y84" s="136"/>
      <c r="Z84" s="391"/>
    </row>
    <row r="85" spans="1:26" ht="12.75" hidden="1" customHeight="1">
      <c r="A85" s="314"/>
      <c r="B85" s="41" t="s">
        <v>39</v>
      </c>
      <c r="C85" s="322"/>
      <c r="D85" s="408"/>
      <c r="E85" s="396"/>
      <c r="F85" s="329"/>
      <c r="G85" s="139">
        <f>SUM(H85:Y85)</f>
        <v>0</v>
      </c>
      <c r="H85" s="136"/>
      <c r="I85" s="136"/>
      <c r="J85" s="136"/>
      <c r="K85" s="136"/>
      <c r="L85" s="136"/>
      <c r="M85" s="136"/>
      <c r="N85" s="136"/>
      <c r="O85" s="136"/>
      <c r="P85" s="247"/>
      <c r="Q85" s="247"/>
      <c r="R85" s="247"/>
      <c r="S85" s="247"/>
      <c r="T85" s="144">
        <f t="shared" si="49"/>
        <v>0</v>
      </c>
      <c r="U85" s="144">
        <f t="shared" si="48"/>
        <v>0</v>
      </c>
      <c r="V85" s="144">
        <f t="shared" si="48"/>
        <v>0</v>
      </c>
      <c r="W85" s="144">
        <f t="shared" si="48"/>
        <v>0</v>
      </c>
      <c r="X85" s="136"/>
      <c r="Y85" s="136"/>
      <c r="Z85" s="391"/>
    </row>
    <row r="86" spans="1:26" ht="12.75" hidden="1" customHeight="1">
      <c r="A86" s="314"/>
      <c r="B86" s="23" t="s">
        <v>30</v>
      </c>
      <c r="C86" s="322"/>
      <c r="D86" s="408"/>
      <c r="E86" s="396"/>
      <c r="F86" s="329"/>
      <c r="G86" s="140">
        <f>SUM(G87:G89)</f>
        <v>0</v>
      </c>
      <c r="H86" s="136"/>
      <c r="I86" s="136"/>
      <c r="J86" s="136"/>
      <c r="K86" s="136"/>
      <c r="L86" s="136"/>
      <c r="M86" s="136"/>
      <c r="N86" s="136"/>
      <c r="O86" s="136"/>
      <c r="P86" s="247"/>
      <c r="Q86" s="247"/>
      <c r="R86" s="247"/>
      <c r="S86" s="247"/>
      <c r="T86" s="144">
        <f t="shared" si="49"/>
        <v>0</v>
      </c>
      <c r="U86" s="144">
        <f t="shared" si="48"/>
        <v>0</v>
      </c>
      <c r="V86" s="144">
        <f t="shared" si="48"/>
        <v>0</v>
      </c>
      <c r="W86" s="144">
        <f t="shared" si="48"/>
        <v>0</v>
      </c>
      <c r="X86" s="136"/>
      <c r="Y86" s="136"/>
      <c r="Z86" s="391"/>
    </row>
    <row r="87" spans="1:26" ht="12.75" hidden="1" customHeight="1">
      <c r="A87" s="314"/>
      <c r="B87" s="41" t="s">
        <v>31</v>
      </c>
      <c r="C87" s="391"/>
      <c r="D87" s="408"/>
      <c r="E87" s="396"/>
      <c r="F87" s="329"/>
      <c r="G87" s="139">
        <f>SUM(H87:Y87)</f>
        <v>0</v>
      </c>
      <c r="H87" s="140"/>
      <c r="I87" s="140"/>
      <c r="J87" s="140"/>
      <c r="K87" s="140"/>
      <c r="L87" s="140"/>
      <c r="M87" s="140"/>
      <c r="N87" s="140"/>
      <c r="O87" s="140"/>
      <c r="P87" s="254"/>
      <c r="Q87" s="254"/>
      <c r="R87" s="254"/>
      <c r="S87" s="254"/>
      <c r="T87" s="144">
        <f t="shared" si="49"/>
        <v>0</v>
      </c>
      <c r="U87" s="144">
        <f t="shared" si="48"/>
        <v>0</v>
      </c>
      <c r="V87" s="144">
        <f t="shared" si="48"/>
        <v>0</v>
      </c>
      <c r="W87" s="144">
        <f t="shared" si="48"/>
        <v>0</v>
      </c>
      <c r="X87" s="140"/>
      <c r="Y87" s="140"/>
      <c r="Z87" s="391"/>
    </row>
    <row r="88" spans="1:26" ht="12.75" hidden="1" customHeight="1">
      <c r="A88" s="314"/>
      <c r="B88" s="41" t="s">
        <v>32</v>
      </c>
      <c r="C88" s="391"/>
      <c r="D88" s="408"/>
      <c r="E88" s="396"/>
      <c r="F88" s="329"/>
      <c r="G88" s="139">
        <f>SUM(H88:Y88)</f>
        <v>0</v>
      </c>
      <c r="H88" s="140"/>
      <c r="I88" s="140"/>
      <c r="J88" s="140"/>
      <c r="K88" s="140"/>
      <c r="L88" s="140"/>
      <c r="M88" s="140"/>
      <c r="N88" s="140"/>
      <c r="O88" s="140"/>
      <c r="P88" s="254"/>
      <c r="Q88" s="254"/>
      <c r="R88" s="254"/>
      <c r="S88" s="254"/>
      <c r="T88" s="144">
        <f t="shared" si="49"/>
        <v>0</v>
      </c>
      <c r="U88" s="144">
        <f t="shared" si="48"/>
        <v>0</v>
      </c>
      <c r="V88" s="144">
        <f t="shared" si="48"/>
        <v>0</v>
      </c>
      <c r="W88" s="144">
        <f t="shared" si="48"/>
        <v>0</v>
      </c>
      <c r="X88" s="140"/>
      <c r="Y88" s="140"/>
      <c r="Z88" s="391"/>
    </row>
    <row r="89" spans="1:26" ht="12.75" hidden="1" customHeight="1">
      <c r="A89" s="314"/>
      <c r="B89" s="41" t="s">
        <v>33</v>
      </c>
      <c r="C89" s="391"/>
      <c r="D89" s="408"/>
      <c r="E89" s="396"/>
      <c r="F89" s="329"/>
      <c r="G89" s="139">
        <f>SUM(H89:Y89)</f>
        <v>0</v>
      </c>
      <c r="H89" s="140"/>
      <c r="I89" s="140"/>
      <c r="J89" s="140"/>
      <c r="K89" s="140"/>
      <c r="L89" s="140"/>
      <c r="M89" s="140"/>
      <c r="N89" s="140"/>
      <c r="O89" s="140"/>
      <c r="P89" s="254"/>
      <c r="Q89" s="254"/>
      <c r="R89" s="254"/>
      <c r="S89" s="254"/>
      <c r="T89" s="144">
        <f t="shared" si="49"/>
        <v>0</v>
      </c>
      <c r="U89" s="144">
        <f t="shared" ref="U89:U138" si="51">I89+M89</f>
        <v>0</v>
      </c>
      <c r="V89" s="144">
        <f t="shared" ref="V89:V135" si="52">J89+N89</f>
        <v>0</v>
      </c>
      <c r="W89" s="144">
        <f t="shared" ref="W89:W135" si="53">K89+O89</f>
        <v>0</v>
      </c>
      <c r="X89" s="140"/>
      <c r="Y89" s="140"/>
      <c r="Z89" s="391"/>
    </row>
    <row r="90" spans="1:26" ht="12.75" hidden="1" customHeight="1">
      <c r="A90" s="314"/>
      <c r="B90" s="23" t="s">
        <v>37</v>
      </c>
      <c r="C90" s="391"/>
      <c r="D90" s="408"/>
      <c r="E90" s="397"/>
      <c r="F90" s="393"/>
      <c r="G90" s="140">
        <f>SUM(H90:Y90)</f>
        <v>0</v>
      </c>
      <c r="H90" s="140"/>
      <c r="I90" s="140"/>
      <c r="J90" s="140"/>
      <c r="K90" s="140"/>
      <c r="L90" s="140"/>
      <c r="M90" s="140"/>
      <c r="N90" s="140"/>
      <c r="O90" s="140"/>
      <c r="P90" s="254"/>
      <c r="Q90" s="254"/>
      <c r="R90" s="254"/>
      <c r="S90" s="254"/>
      <c r="T90" s="144">
        <f t="shared" si="49"/>
        <v>0</v>
      </c>
      <c r="U90" s="144">
        <f t="shared" si="51"/>
        <v>0</v>
      </c>
      <c r="V90" s="144">
        <f t="shared" si="52"/>
        <v>0</v>
      </c>
      <c r="W90" s="144">
        <f t="shared" si="53"/>
        <v>0</v>
      </c>
      <c r="X90" s="140"/>
      <c r="Y90" s="140"/>
      <c r="Z90" s="391"/>
    </row>
    <row r="91" spans="1:26" ht="12.75" hidden="1" customHeight="1">
      <c r="A91" s="315"/>
      <c r="B91" s="23" t="s">
        <v>38</v>
      </c>
      <c r="C91" s="392"/>
      <c r="D91" s="409"/>
      <c r="E91" s="398"/>
      <c r="F91" s="394"/>
      <c r="G91" s="140">
        <f>SUM(H91:Y91)</f>
        <v>0</v>
      </c>
      <c r="H91" s="140"/>
      <c r="I91" s="140"/>
      <c r="J91" s="140"/>
      <c r="K91" s="140"/>
      <c r="L91" s="140"/>
      <c r="M91" s="140"/>
      <c r="N91" s="140"/>
      <c r="O91" s="140"/>
      <c r="P91" s="254"/>
      <c r="Q91" s="254"/>
      <c r="R91" s="254"/>
      <c r="S91" s="254"/>
      <c r="T91" s="144">
        <f t="shared" si="49"/>
        <v>0</v>
      </c>
      <c r="U91" s="144">
        <f t="shared" si="51"/>
        <v>0</v>
      </c>
      <c r="V91" s="144">
        <f t="shared" si="52"/>
        <v>0</v>
      </c>
      <c r="W91" s="144">
        <f t="shared" si="53"/>
        <v>0</v>
      </c>
      <c r="X91" s="140"/>
      <c r="Y91" s="140"/>
      <c r="Z91" s="392"/>
    </row>
    <row r="92" spans="1:26" ht="40.5" customHeight="1">
      <c r="A92" s="313" t="s">
        <v>83</v>
      </c>
      <c r="B92" s="19" t="s">
        <v>81</v>
      </c>
      <c r="C92" s="395" t="s">
        <v>43</v>
      </c>
      <c r="D92" s="404" t="s">
        <v>49</v>
      </c>
      <c r="E92" s="328">
        <v>90</v>
      </c>
      <c r="F92" s="328" t="s">
        <v>18</v>
      </c>
      <c r="G92" s="25">
        <f>G93+G95+G97+G101+G102</f>
        <v>318143.09999999998</v>
      </c>
      <c r="H92" s="25">
        <f>H93+H95+H97+H101+H102</f>
        <v>0</v>
      </c>
      <c r="I92" s="140"/>
      <c r="J92" s="140"/>
      <c r="K92" s="140"/>
      <c r="L92" s="25">
        <f>L93+L95+L97+L101+L102</f>
        <v>155738.1</v>
      </c>
      <c r="M92" s="140">
        <v>0</v>
      </c>
      <c r="N92" s="140">
        <v>0</v>
      </c>
      <c r="O92" s="140">
        <v>0</v>
      </c>
      <c r="P92" s="25">
        <f>P93+P95+P97+P101+P102</f>
        <v>162405</v>
      </c>
      <c r="Q92" s="254">
        <v>0</v>
      </c>
      <c r="R92" s="254">
        <v>0</v>
      </c>
      <c r="S92" s="254">
        <v>0</v>
      </c>
      <c r="T92" s="25">
        <f>H92+L92+P92</f>
        <v>318143.09999999998</v>
      </c>
      <c r="U92" s="25">
        <f>I92+M92+Q92</f>
        <v>0</v>
      </c>
      <c r="V92" s="25">
        <f t="shared" ref="V92:W92" si="54">J92+N92+R92</f>
        <v>0</v>
      </c>
      <c r="W92" s="25">
        <f t="shared" si="54"/>
        <v>0</v>
      </c>
      <c r="X92" s="140"/>
      <c r="Y92" s="140"/>
      <c r="Z92" s="328"/>
    </row>
    <row r="93" spans="1:26">
      <c r="A93" s="314"/>
      <c r="B93" s="22" t="s">
        <v>127</v>
      </c>
      <c r="C93" s="322"/>
      <c r="D93" s="405"/>
      <c r="E93" s="329"/>
      <c r="F93" s="329"/>
      <c r="G93" s="323">
        <v>318143.09999999998</v>
      </c>
      <c r="H93" s="323"/>
      <c r="I93" s="134"/>
      <c r="J93" s="134"/>
      <c r="K93" s="134"/>
      <c r="L93" s="323">
        <v>155738.1</v>
      </c>
      <c r="M93" s="134"/>
      <c r="N93" s="134"/>
      <c r="O93" s="134"/>
      <c r="P93" s="323">
        <v>162405</v>
      </c>
      <c r="Q93" s="245"/>
      <c r="R93" s="245"/>
      <c r="S93" s="245"/>
      <c r="T93" s="323">
        <f>H93+L93+P93</f>
        <v>318143.09999999998</v>
      </c>
      <c r="U93" s="323">
        <f>I93+M93+Q93</f>
        <v>0</v>
      </c>
      <c r="V93" s="323">
        <f t="shared" si="52"/>
        <v>0</v>
      </c>
      <c r="W93" s="323">
        <f t="shared" si="53"/>
        <v>0</v>
      </c>
      <c r="X93" s="323">
        <v>155738.1</v>
      </c>
      <c r="Y93" s="323">
        <f>306994-142950.1+0.7+1639.6-3279.2</f>
        <v>162405</v>
      </c>
      <c r="Z93" s="417"/>
    </row>
    <row r="94" spans="1:26">
      <c r="A94" s="314"/>
      <c r="B94" s="40" t="s">
        <v>27</v>
      </c>
      <c r="C94" s="322"/>
      <c r="D94" s="405"/>
      <c r="E94" s="329"/>
      <c r="F94" s="329"/>
      <c r="G94" s="403"/>
      <c r="H94" s="324"/>
      <c r="I94" s="136"/>
      <c r="J94" s="136"/>
      <c r="K94" s="136"/>
      <c r="L94" s="324"/>
      <c r="M94" s="136"/>
      <c r="N94" s="136"/>
      <c r="O94" s="136"/>
      <c r="P94" s="324"/>
      <c r="Q94" s="247"/>
      <c r="R94" s="247"/>
      <c r="S94" s="247"/>
      <c r="T94" s="324">
        <f t="shared" ref="T94:U94" si="55">H94+L94</f>
        <v>0</v>
      </c>
      <c r="U94" s="324">
        <f t="shared" si="55"/>
        <v>0</v>
      </c>
      <c r="V94" s="324">
        <f t="shared" si="52"/>
        <v>0</v>
      </c>
      <c r="W94" s="324">
        <f t="shared" si="53"/>
        <v>0</v>
      </c>
      <c r="X94" s="324"/>
      <c r="Y94" s="324"/>
      <c r="Z94" s="417"/>
    </row>
    <row r="95" spans="1:26">
      <c r="A95" s="314"/>
      <c r="B95" s="23" t="s">
        <v>29</v>
      </c>
      <c r="C95" s="322"/>
      <c r="D95" s="405"/>
      <c r="E95" s="329"/>
      <c r="F95" s="329"/>
      <c r="G95" s="140">
        <f>SUM(G96)</f>
        <v>0</v>
      </c>
      <c r="H95" s="136"/>
      <c r="I95" s="136"/>
      <c r="J95" s="136"/>
      <c r="K95" s="136"/>
      <c r="L95" s="140">
        <f>SUM(L96)</f>
        <v>0</v>
      </c>
      <c r="M95" s="136"/>
      <c r="N95" s="136"/>
      <c r="O95" s="136"/>
      <c r="P95" s="254">
        <f>SUM(P96)</f>
        <v>0</v>
      </c>
      <c r="Q95" s="247"/>
      <c r="R95" s="247"/>
      <c r="S95" s="247"/>
      <c r="T95" s="150">
        <f>H95+L95</f>
        <v>0</v>
      </c>
      <c r="U95" s="257">
        <f>I95+M95+Q95</f>
        <v>0</v>
      </c>
      <c r="V95" s="150">
        <f t="shared" si="52"/>
        <v>0</v>
      </c>
      <c r="W95" s="150">
        <f t="shared" si="53"/>
        <v>0</v>
      </c>
      <c r="X95" s="136"/>
      <c r="Y95" s="136"/>
      <c r="Z95" s="417"/>
    </row>
    <row r="96" spans="1:26">
      <c r="A96" s="314"/>
      <c r="B96" s="41" t="s">
        <v>39</v>
      </c>
      <c r="C96" s="322"/>
      <c r="D96" s="405"/>
      <c r="E96" s="329"/>
      <c r="F96" s="329"/>
      <c r="G96" s="139">
        <v>0</v>
      </c>
      <c r="H96" s="136"/>
      <c r="I96" s="136"/>
      <c r="J96" s="136"/>
      <c r="K96" s="136"/>
      <c r="L96" s="139">
        <v>0</v>
      </c>
      <c r="M96" s="136"/>
      <c r="N96" s="136"/>
      <c r="O96" s="136"/>
      <c r="P96" s="253">
        <v>0</v>
      </c>
      <c r="Q96" s="247"/>
      <c r="R96" s="247"/>
      <c r="S96" s="247"/>
      <c r="T96" s="151">
        <f t="shared" ref="T96:T102" si="56">H96+L96</f>
        <v>0</v>
      </c>
      <c r="U96" s="258">
        <f>I96+M96+Q96</f>
        <v>0</v>
      </c>
      <c r="V96" s="151">
        <f t="shared" si="52"/>
        <v>0</v>
      </c>
      <c r="W96" s="151">
        <f t="shared" si="53"/>
        <v>0</v>
      </c>
      <c r="X96" s="136"/>
      <c r="Y96" s="136"/>
      <c r="Z96" s="417"/>
    </row>
    <row r="97" spans="1:26">
      <c r="A97" s="314"/>
      <c r="B97" s="23" t="s">
        <v>30</v>
      </c>
      <c r="C97" s="322"/>
      <c r="D97" s="405"/>
      <c r="E97" s="329"/>
      <c r="F97" s="329"/>
      <c r="G97" s="140">
        <v>0</v>
      </c>
      <c r="H97" s="136"/>
      <c r="I97" s="136"/>
      <c r="J97" s="136"/>
      <c r="K97" s="136"/>
      <c r="L97" s="140">
        <v>0</v>
      </c>
      <c r="M97" s="136"/>
      <c r="N97" s="136"/>
      <c r="O97" s="136"/>
      <c r="P97" s="254">
        <v>0</v>
      </c>
      <c r="Q97" s="247"/>
      <c r="R97" s="247"/>
      <c r="S97" s="247"/>
      <c r="T97" s="150">
        <f t="shared" si="56"/>
        <v>0</v>
      </c>
      <c r="U97" s="257">
        <f>I97+M97+Q97</f>
        <v>0</v>
      </c>
      <c r="V97" s="150">
        <f t="shared" si="52"/>
        <v>0</v>
      </c>
      <c r="W97" s="150">
        <f t="shared" si="53"/>
        <v>0</v>
      </c>
      <c r="X97" s="136"/>
      <c r="Y97" s="136"/>
      <c r="Z97" s="417"/>
    </row>
    <row r="98" spans="1:26">
      <c r="A98" s="314"/>
      <c r="B98" s="41" t="s">
        <v>31</v>
      </c>
      <c r="C98" s="391"/>
      <c r="D98" s="405"/>
      <c r="E98" s="329"/>
      <c r="F98" s="329"/>
      <c r="G98" s="139">
        <v>0</v>
      </c>
      <c r="H98" s="140"/>
      <c r="I98" s="140"/>
      <c r="J98" s="140"/>
      <c r="K98" s="140"/>
      <c r="L98" s="139">
        <v>0</v>
      </c>
      <c r="M98" s="140"/>
      <c r="N98" s="140"/>
      <c r="O98" s="140"/>
      <c r="P98" s="253">
        <v>0</v>
      </c>
      <c r="Q98" s="254"/>
      <c r="R98" s="254"/>
      <c r="S98" s="254"/>
      <c r="T98" s="151">
        <f t="shared" si="56"/>
        <v>0</v>
      </c>
      <c r="U98" s="258">
        <f>I98+M98+Q98</f>
        <v>0</v>
      </c>
      <c r="V98" s="151">
        <f t="shared" si="52"/>
        <v>0</v>
      </c>
      <c r="W98" s="151">
        <f t="shared" si="53"/>
        <v>0</v>
      </c>
      <c r="X98" s="140"/>
      <c r="Y98" s="140"/>
      <c r="Z98" s="417"/>
    </row>
    <row r="99" spans="1:26">
      <c r="A99" s="314"/>
      <c r="B99" s="41" t="s">
        <v>32</v>
      </c>
      <c r="C99" s="391"/>
      <c r="D99" s="405"/>
      <c r="E99" s="329"/>
      <c r="F99" s="329"/>
      <c r="G99" s="139">
        <v>0</v>
      </c>
      <c r="H99" s="140"/>
      <c r="I99" s="140"/>
      <c r="J99" s="140"/>
      <c r="K99" s="140"/>
      <c r="L99" s="139">
        <v>0</v>
      </c>
      <c r="M99" s="140"/>
      <c r="N99" s="140"/>
      <c r="O99" s="140"/>
      <c r="P99" s="253">
        <v>0</v>
      </c>
      <c r="Q99" s="254"/>
      <c r="R99" s="254"/>
      <c r="S99" s="254"/>
      <c r="T99" s="151">
        <f t="shared" si="56"/>
        <v>0</v>
      </c>
      <c r="U99" s="258">
        <f t="shared" ref="U99:U100" si="57">I99+M99+Q99</f>
        <v>0</v>
      </c>
      <c r="V99" s="151">
        <f t="shared" si="52"/>
        <v>0</v>
      </c>
      <c r="W99" s="151">
        <f t="shared" si="53"/>
        <v>0</v>
      </c>
      <c r="X99" s="140"/>
      <c r="Y99" s="140"/>
      <c r="Z99" s="417"/>
    </row>
    <row r="100" spans="1:26">
      <c r="A100" s="314"/>
      <c r="B100" s="41" t="s">
        <v>33</v>
      </c>
      <c r="C100" s="391"/>
      <c r="D100" s="405"/>
      <c r="E100" s="329"/>
      <c r="F100" s="329"/>
      <c r="G100" s="139">
        <v>0</v>
      </c>
      <c r="H100" s="140"/>
      <c r="I100" s="140"/>
      <c r="J100" s="140"/>
      <c r="K100" s="140"/>
      <c r="L100" s="139">
        <v>0</v>
      </c>
      <c r="M100" s="140"/>
      <c r="N100" s="140"/>
      <c r="O100" s="140"/>
      <c r="P100" s="253">
        <v>0</v>
      </c>
      <c r="Q100" s="254"/>
      <c r="R100" s="254"/>
      <c r="S100" s="254"/>
      <c r="T100" s="151">
        <f t="shared" si="56"/>
        <v>0</v>
      </c>
      <c r="U100" s="258">
        <f t="shared" si="57"/>
        <v>0</v>
      </c>
      <c r="V100" s="151">
        <f t="shared" si="52"/>
        <v>0</v>
      </c>
      <c r="W100" s="151">
        <f t="shared" si="53"/>
        <v>0</v>
      </c>
      <c r="X100" s="140"/>
      <c r="Y100" s="140"/>
      <c r="Z100" s="417"/>
    </row>
    <row r="101" spans="1:26">
      <c r="A101" s="314"/>
      <c r="B101" s="23" t="s">
        <v>37</v>
      </c>
      <c r="C101" s="391"/>
      <c r="D101" s="406"/>
      <c r="E101" s="393"/>
      <c r="F101" s="393"/>
      <c r="G101" s="140">
        <v>0</v>
      </c>
      <c r="H101" s="140"/>
      <c r="I101" s="140"/>
      <c r="J101" s="140"/>
      <c r="K101" s="140"/>
      <c r="L101" s="140">
        <v>0</v>
      </c>
      <c r="M101" s="140"/>
      <c r="N101" s="140"/>
      <c r="O101" s="140"/>
      <c r="P101" s="254">
        <v>0</v>
      </c>
      <c r="Q101" s="254"/>
      <c r="R101" s="254"/>
      <c r="S101" s="254"/>
      <c r="T101" s="150">
        <f t="shared" si="56"/>
        <v>0</v>
      </c>
      <c r="U101" s="257">
        <f>I101+M101+Q101</f>
        <v>0</v>
      </c>
      <c r="V101" s="150">
        <f t="shared" si="52"/>
        <v>0</v>
      </c>
      <c r="W101" s="150">
        <f t="shared" si="53"/>
        <v>0</v>
      </c>
      <c r="X101" s="140"/>
      <c r="Y101" s="140"/>
      <c r="Z101" s="417"/>
    </row>
    <row r="102" spans="1:26">
      <c r="A102" s="315"/>
      <c r="B102" s="23" t="s">
        <v>38</v>
      </c>
      <c r="C102" s="392"/>
      <c r="D102" s="407"/>
      <c r="E102" s="394"/>
      <c r="F102" s="394"/>
      <c r="G102" s="140">
        <v>0</v>
      </c>
      <c r="H102" s="140"/>
      <c r="I102" s="140"/>
      <c r="J102" s="140"/>
      <c r="K102" s="140"/>
      <c r="L102" s="140">
        <v>0</v>
      </c>
      <c r="M102" s="140"/>
      <c r="N102" s="140"/>
      <c r="O102" s="140"/>
      <c r="P102" s="254">
        <v>0</v>
      </c>
      <c r="Q102" s="254"/>
      <c r="R102" s="254"/>
      <c r="S102" s="254"/>
      <c r="T102" s="150">
        <f t="shared" si="56"/>
        <v>0</v>
      </c>
      <c r="U102" s="257">
        <f>I102+M102+Q102</f>
        <v>0</v>
      </c>
      <c r="V102" s="150">
        <f t="shared" si="52"/>
        <v>0</v>
      </c>
      <c r="W102" s="150">
        <f t="shared" si="53"/>
        <v>0</v>
      </c>
      <c r="X102" s="140"/>
      <c r="Y102" s="140"/>
      <c r="Z102" s="418"/>
    </row>
    <row r="103" spans="1:26" ht="25.5">
      <c r="A103" s="313" t="s">
        <v>109</v>
      </c>
      <c r="B103" s="19" t="s">
        <v>110</v>
      </c>
      <c r="C103" s="395" t="s">
        <v>43</v>
      </c>
      <c r="D103" s="404" t="s">
        <v>49</v>
      </c>
      <c r="E103" s="328"/>
      <c r="F103" s="328" t="s">
        <v>18</v>
      </c>
      <c r="G103" s="25">
        <f>G104+G106+G108+G112+G113</f>
        <v>1809.5</v>
      </c>
      <c r="H103" s="25">
        <f>H104+H106+H108+H112+H113</f>
        <v>0</v>
      </c>
      <c r="I103" s="140"/>
      <c r="J103" s="140"/>
      <c r="K103" s="140"/>
      <c r="L103" s="25">
        <f>L104+L106+L108+L112+L113</f>
        <v>164.5</v>
      </c>
      <c r="M103" s="140">
        <v>0</v>
      </c>
      <c r="N103" s="140">
        <v>0</v>
      </c>
      <c r="O103" s="140">
        <v>0</v>
      </c>
      <c r="P103" s="25">
        <f>P104+P106+P108+P112+P113</f>
        <v>1645</v>
      </c>
      <c r="Q103" s="254">
        <v>0</v>
      </c>
      <c r="R103" s="254">
        <v>0</v>
      </c>
      <c r="S103" s="254">
        <v>0</v>
      </c>
      <c r="T103" s="25">
        <f>H103+L103+P103</f>
        <v>1809.5</v>
      </c>
      <c r="U103" s="25">
        <f>I103+M103+Q103</f>
        <v>0</v>
      </c>
      <c r="V103" s="25">
        <f t="shared" ref="V103:W103" si="58">J103+N103+R103</f>
        <v>0</v>
      </c>
      <c r="W103" s="25">
        <f t="shared" si="58"/>
        <v>0</v>
      </c>
      <c r="X103" s="140"/>
      <c r="Y103" s="140"/>
      <c r="Z103" s="170"/>
    </row>
    <row r="104" spans="1:26">
      <c r="A104" s="314"/>
      <c r="B104" s="22" t="s">
        <v>127</v>
      </c>
      <c r="C104" s="322"/>
      <c r="D104" s="405"/>
      <c r="E104" s="329"/>
      <c r="F104" s="329"/>
      <c r="G104" s="323">
        <v>1809.5</v>
      </c>
      <c r="H104" s="323"/>
      <c r="I104" s="134"/>
      <c r="J104" s="134"/>
      <c r="K104" s="134"/>
      <c r="L104" s="323">
        <v>164.5</v>
      </c>
      <c r="M104" s="134"/>
      <c r="N104" s="134"/>
      <c r="O104" s="134"/>
      <c r="P104" s="323">
        <v>1645</v>
      </c>
      <c r="Q104" s="245"/>
      <c r="R104" s="245"/>
      <c r="S104" s="245"/>
      <c r="T104" s="323">
        <f>H104+L104+P104</f>
        <v>1809.5</v>
      </c>
      <c r="U104" s="323">
        <f>I104+M104+Q104</f>
        <v>0</v>
      </c>
      <c r="V104" s="323">
        <f t="shared" si="52"/>
        <v>0</v>
      </c>
      <c r="W104" s="323">
        <f t="shared" si="53"/>
        <v>0</v>
      </c>
      <c r="X104" s="323">
        <v>164.5</v>
      </c>
      <c r="Y104" s="323">
        <v>1645</v>
      </c>
      <c r="Z104" s="170"/>
    </row>
    <row r="105" spans="1:26">
      <c r="A105" s="314"/>
      <c r="B105" s="40" t="s">
        <v>27</v>
      </c>
      <c r="C105" s="322"/>
      <c r="D105" s="405"/>
      <c r="E105" s="329"/>
      <c r="F105" s="329"/>
      <c r="G105" s="394"/>
      <c r="H105" s="324"/>
      <c r="I105" s="136"/>
      <c r="J105" s="136"/>
      <c r="K105" s="136"/>
      <c r="L105" s="324"/>
      <c r="M105" s="136"/>
      <c r="N105" s="136"/>
      <c r="O105" s="136"/>
      <c r="P105" s="324"/>
      <c r="Q105" s="247"/>
      <c r="R105" s="247"/>
      <c r="S105" s="247"/>
      <c r="T105" s="324">
        <f t="shared" ref="T105:U105" si="59">H105+L105</f>
        <v>0</v>
      </c>
      <c r="U105" s="324">
        <f t="shared" si="59"/>
        <v>0</v>
      </c>
      <c r="V105" s="324">
        <f t="shared" si="52"/>
        <v>0</v>
      </c>
      <c r="W105" s="324">
        <f t="shared" si="53"/>
        <v>0</v>
      </c>
      <c r="X105" s="324"/>
      <c r="Y105" s="324"/>
      <c r="Z105" s="170"/>
    </row>
    <row r="106" spans="1:26">
      <c r="A106" s="314"/>
      <c r="B106" s="23" t="s">
        <v>29</v>
      </c>
      <c r="C106" s="322"/>
      <c r="D106" s="405"/>
      <c r="E106" s="329"/>
      <c r="F106" s="329"/>
      <c r="G106" s="140">
        <v>0</v>
      </c>
      <c r="H106" s="136"/>
      <c r="I106" s="136"/>
      <c r="J106" s="136"/>
      <c r="K106" s="136"/>
      <c r="L106" s="140">
        <v>0</v>
      </c>
      <c r="M106" s="136"/>
      <c r="N106" s="136"/>
      <c r="O106" s="136"/>
      <c r="P106" s="254">
        <v>0</v>
      </c>
      <c r="Q106" s="247"/>
      <c r="R106" s="247"/>
      <c r="S106" s="247"/>
      <c r="T106" s="150">
        <f>H106+L106</f>
        <v>0</v>
      </c>
      <c r="U106" s="257">
        <f>I106+M106+Q106</f>
        <v>0</v>
      </c>
      <c r="V106" s="150">
        <f t="shared" si="52"/>
        <v>0</v>
      </c>
      <c r="W106" s="150">
        <f t="shared" si="53"/>
        <v>0</v>
      </c>
      <c r="X106" s="136"/>
      <c r="Y106" s="136"/>
      <c r="Z106" s="170"/>
    </row>
    <row r="107" spans="1:26">
      <c r="A107" s="314"/>
      <c r="B107" s="41" t="s">
        <v>39</v>
      </c>
      <c r="C107" s="322"/>
      <c r="D107" s="405"/>
      <c r="E107" s="329"/>
      <c r="F107" s="329"/>
      <c r="G107" s="139">
        <v>0</v>
      </c>
      <c r="H107" s="136"/>
      <c r="I107" s="136"/>
      <c r="J107" s="136"/>
      <c r="K107" s="136"/>
      <c r="L107" s="139">
        <v>0</v>
      </c>
      <c r="M107" s="136"/>
      <c r="N107" s="136"/>
      <c r="O107" s="136"/>
      <c r="P107" s="253">
        <v>0</v>
      </c>
      <c r="Q107" s="247"/>
      <c r="R107" s="247"/>
      <c r="S107" s="247"/>
      <c r="T107" s="151">
        <f t="shared" ref="T107:T113" si="60">H107+L107</f>
        <v>0</v>
      </c>
      <c r="U107" s="258">
        <f>I107+M107+Q107</f>
        <v>0</v>
      </c>
      <c r="V107" s="151">
        <f t="shared" si="52"/>
        <v>0</v>
      </c>
      <c r="W107" s="151">
        <f t="shared" si="53"/>
        <v>0</v>
      </c>
      <c r="X107" s="136"/>
      <c r="Y107" s="136"/>
      <c r="Z107" s="170"/>
    </row>
    <row r="108" spans="1:26">
      <c r="A108" s="314"/>
      <c r="B108" s="23" t="s">
        <v>30</v>
      </c>
      <c r="C108" s="322"/>
      <c r="D108" s="405"/>
      <c r="E108" s="329"/>
      <c r="F108" s="329"/>
      <c r="G108" s="140">
        <v>0</v>
      </c>
      <c r="H108" s="136"/>
      <c r="I108" s="136"/>
      <c r="J108" s="136"/>
      <c r="K108" s="136"/>
      <c r="L108" s="140">
        <v>0</v>
      </c>
      <c r="M108" s="136"/>
      <c r="N108" s="136"/>
      <c r="O108" s="136"/>
      <c r="P108" s="254">
        <v>0</v>
      </c>
      <c r="Q108" s="247"/>
      <c r="R108" s="247"/>
      <c r="S108" s="247"/>
      <c r="T108" s="150">
        <f t="shared" si="60"/>
        <v>0</v>
      </c>
      <c r="U108" s="257">
        <f>I108+M108+Q108</f>
        <v>0</v>
      </c>
      <c r="V108" s="150">
        <f t="shared" si="52"/>
        <v>0</v>
      </c>
      <c r="W108" s="150">
        <f t="shared" si="53"/>
        <v>0</v>
      </c>
      <c r="X108" s="136"/>
      <c r="Y108" s="136"/>
      <c r="Z108" s="170"/>
    </row>
    <row r="109" spans="1:26">
      <c r="A109" s="314"/>
      <c r="B109" s="41" t="s">
        <v>31</v>
      </c>
      <c r="C109" s="391"/>
      <c r="D109" s="405"/>
      <c r="E109" s="329"/>
      <c r="F109" s="329"/>
      <c r="G109" s="139">
        <v>0</v>
      </c>
      <c r="H109" s="140"/>
      <c r="I109" s="140"/>
      <c r="J109" s="140"/>
      <c r="K109" s="140"/>
      <c r="L109" s="139">
        <v>0</v>
      </c>
      <c r="M109" s="140"/>
      <c r="N109" s="140"/>
      <c r="O109" s="140"/>
      <c r="P109" s="253">
        <v>0</v>
      </c>
      <c r="Q109" s="254"/>
      <c r="R109" s="254"/>
      <c r="S109" s="254"/>
      <c r="T109" s="151">
        <f t="shared" si="60"/>
        <v>0</v>
      </c>
      <c r="U109" s="258">
        <f>I109+M109+Q109</f>
        <v>0</v>
      </c>
      <c r="V109" s="151">
        <f t="shared" si="52"/>
        <v>0</v>
      </c>
      <c r="W109" s="151">
        <f t="shared" si="53"/>
        <v>0</v>
      </c>
      <c r="X109" s="140"/>
      <c r="Y109" s="140"/>
      <c r="Z109" s="170"/>
    </row>
    <row r="110" spans="1:26">
      <c r="A110" s="314"/>
      <c r="B110" s="41" t="s">
        <v>32</v>
      </c>
      <c r="C110" s="391"/>
      <c r="D110" s="405"/>
      <c r="E110" s="329"/>
      <c r="F110" s="329"/>
      <c r="G110" s="139">
        <v>0</v>
      </c>
      <c r="H110" s="140"/>
      <c r="I110" s="140"/>
      <c r="J110" s="140"/>
      <c r="K110" s="140"/>
      <c r="L110" s="139">
        <v>0</v>
      </c>
      <c r="M110" s="140"/>
      <c r="N110" s="140"/>
      <c r="O110" s="140"/>
      <c r="P110" s="253">
        <v>0</v>
      </c>
      <c r="Q110" s="254"/>
      <c r="R110" s="254"/>
      <c r="S110" s="254"/>
      <c r="T110" s="151">
        <f t="shared" si="60"/>
        <v>0</v>
      </c>
      <c r="U110" s="258">
        <f t="shared" ref="U110:U111" si="61">I110+M110+Q110</f>
        <v>0</v>
      </c>
      <c r="V110" s="151">
        <f t="shared" si="52"/>
        <v>0</v>
      </c>
      <c r="W110" s="151">
        <f t="shared" si="53"/>
        <v>0</v>
      </c>
      <c r="X110" s="140"/>
      <c r="Y110" s="140"/>
      <c r="Z110" s="170"/>
    </row>
    <row r="111" spans="1:26">
      <c r="A111" s="314"/>
      <c r="B111" s="41" t="s">
        <v>33</v>
      </c>
      <c r="C111" s="391"/>
      <c r="D111" s="405"/>
      <c r="E111" s="329"/>
      <c r="F111" s="329"/>
      <c r="G111" s="139">
        <v>0</v>
      </c>
      <c r="H111" s="140"/>
      <c r="I111" s="140"/>
      <c r="J111" s="140"/>
      <c r="K111" s="140"/>
      <c r="L111" s="139">
        <v>0</v>
      </c>
      <c r="M111" s="140"/>
      <c r="N111" s="140"/>
      <c r="O111" s="140"/>
      <c r="P111" s="253">
        <v>0</v>
      </c>
      <c r="Q111" s="254"/>
      <c r="R111" s="254"/>
      <c r="S111" s="254"/>
      <c r="T111" s="151">
        <f t="shared" si="60"/>
        <v>0</v>
      </c>
      <c r="U111" s="258">
        <f t="shared" si="61"/>
        <v>0</v>
      </c>
      <c r="V111" s="151">
        <f t="shared" si="52"/>
        <v>0</v>
      </c>
      <c r="W111" s="151">
        <f t="shared" si="53"/>
        <v>0</v>
      </c>
      <c r="X111" s="140"/>
      <c r="Y111" s="140"/>
      <c r="Z111" s="170"/>
    </row>
    <row r="112" spans="1:26">
      <c r="A112" s="314"/>
      <c r="B112" s="23" t="s">
        <v>37</v>
      </c>
      <c r="C112" s="391"/>
      <c r="D112" s="406"/>
      <c r="E112" s="393"/>
      <c r="F112" s="393"/>
      <c r="G112" s="140">
        <v>0</v>
      </c>
      <c r="H112" s="140"/>
      <c r="I112" s="140"/>
      <c r="J112" s="140"/>
      <c r="K112" s="140"/>
      <c r="L112" s="140">
        <v>0</v>
      </c>
      <c r="M112" s="140"/>
      <c r="N112" s="140"/>
      <c r="O112" s="140"/>
      <c r="P112" s="254">
        <v>0</v>
      </c>
      <c r="Q112" s="254"/>
      <c r="R112" s="254"/>
      <c r="S112" s="254"/>
      <c r="T112" s="150">
        <f t="shared" si="60"/>
        <v>0</v>
      </c>
      <c r="U112" s="257">
        <f>I112+M112+Q112</f>
        <v>0</v>
      </c>
      <c r="V112" s="150">
        <f t="shared" si="52"/>
        <v>0</v>
      </c>
      <c r="W112" s="150">
        <f t="shared" si="53"/>
        <v>0</v>
      </c>
      <c r="X112" s="140"/>
      <c r="Y112" s="140"/>
      <c r="Z112" s="170"/>
    </row>
    <row r="113" spans="1:26">
      <c r="A113" s="315"/>
      <c r="B113" s="23" t="s">
        <v>38</v>
      </c>
      <c r="C113" s="392"/>
      <c r="D113" s="407"/>
      <c r="E113" s="394"/>
      <c r="F113" s="394"/>
      <c r="G113" s="140">
        <v>0</v>
      </c>
      <c r="H113" s="140"/>
      <c r="I113" s="140"/>
      <c r="J113" s="140"/>
      <c r="K113" s="140"/>
      <c r="L113" s="140">
        <v>0</v>
      </c>
      <c r="M113" s="140"/>
      <c r="N113" s="140"/>
      <c r="O113" s="140"/>
      <c r="P113" s="254">
        <v>0</v>
      </c>
      <c r="Q113" s="254"/>
      <c r="R113" s="254"/>
      <c r="S113" s="254"/>
      <c r="T113" s="150">
        <f t="shared" si="60"/>
        <v>0</v>
      </c>
      <c r="U113" s="257">
        <f>I113+M113+Q113</f>
        <v>0</v>
      </c>
      <c r="V113" s="150">
        <f t="shared" si="52"/>
        <v>0</v>
      </c>
      <c r="W113" s="150">
        <f t="shared" si="53"/>
        <v>0</v>
      </c>
      <c r="X113" s="140"/>
      <c r="Y113" s="140"/>
      <c r="Z113" s="170"/>
    </row>
    <row r="114" spans="1:26" ht="25.5">
      <c r="A114" s="313" t="s">
        <v>130</v>
      </c>
      <c r="B114" s="19" t="s">
        <v>111</v>
      </c>
      <c r="C114" s="395" t="s">
        <v>43</v>
      </c>
      <c r="D114" s="404" t="s">
        <v>49</v>
      </c>
      <c r="E114" s="328"/>
      <c r="F114" s="328" t="s">
        <v>18</v>
      </c>
      <c r="G114" s="25">
        <f>G115+G117+G119+G123+G124</f>
        <v>3566.2</v>
      </c>
      <c r="H114" s="25">
        <f>H115+H117+H119+H123+H124</f>
        <v>0</v>
      </c>
      <c r="I114" s="140"/>
      <c r="J114" s="140"/>
      <c r="K114" s="140"/>
      <c r="L114" s="25">
        <f>L115+L117+L119+L123+L124</f>
        <v>324.2</v>
      </c>
      <c r="M114" s="140">
        <v>0</v>
      </c>
      <c r="N114" s="140">
        <v>0</v>
      </c>
      <c r="O114" s="140">
        <v>0</v>
      </c>
      <c r="P114" s="25">
        <f>P115+P117+P119+P123+P124</f>
        <v>3242</v>
      </c>
      <c r="Q114" s="254">
        <v>0</v>
      </c>
      <c r="R114" s="254">
        <v>0</v>
      </c>
      <c r="S114" s="254">
        <v>0</v>
      </c>
      <c r="T114" s="25">
        <f>H114+L114+P114</f>
        <v>3566.2</v>
      </c>
      <c r="U114" s="25">
        <f>I114+M114+Q114</f>
        <v>0</v>
      </c>
      <c r="V114" s="25">
        <f t="shared" ref="V114:W115" si="62">J114+N114+R114</f>
        <v>0</v>
      </c>
      <c r="W114" s="25">
        <f t="shared" si="62"/>
        <v>0</v>
      </c>
      <c r="X114" s="140"/>
      <c r="Y114" s="140"/>
      <c r="Z114" s="170"/>
    </row>
    <row r="115" spans="1:26">
      <c r="A115" s="314"/>
      <c r="B115" s="22" t="s">
        <v>127</v>
      </c>
      <c r="C115" s="322"/>
      <c r="D115" s="405"/>
      <c r="E115" s="329"/>
      <c r="F115" s="329"/>
      <c r="G115" s="323">
        <v>3566.2</v>
      </c>
      <c r="H115" s="323"/>
      <c r="I115" s="134"/>
      <c r="J115" s="134"/>
      <c r="K115" s="134"/>
      <c r="L115" s="323">
        <v>324.2</v>
      </c>
      <c r="M115" s="134"/>
      <c r="N115" s="134"/>
      <c r="O115" s="134"/>
      <c r="P115" s="323">
        <v>3242</v>
      </c>
      <c r="Q115" s="245"/>
      <c r="R115" s="245"/>
      <c r="S115" s="245"/>
      <c r="T115" s="389">
        <f t="shared" ref="T115" si="63">H115+L115+P115</f>
        <v>3566.2</v>
      </c>
      <c r="U115" s="323">
        <f>I115+M115+Q115</f>
        <v>0</v>
      </c>
      <c r="V115" s="323">
        <f t="shared" si="62"/>
        <v>0</v>
      </c>
      <c r="W115" s="323">
        <f t="shared" si="62"/>
        <v>0</v>
      </c>
      <c r="X115" s="323">
        <v>324.2</v>
      </c>
      <c r="Y115" s="323">
        <v>3242</v>
      </c>
      <c r="Z115" s="170"/>
    </row>
    <row r="116" spans="1:26">
      <c r="A116" s="314"/>
      <c r="B116" s="40" t="s">
        <v>27</v>
      </c>
      <c r="C116" s="322"/>
      <c r="D116" s="405"/>
      <c r="E116" s="329"/>
      <c r="F116" s="329"/>
      <c r="G116" s="394"/>
      <c r="H116" s="324"/>
      <c r="I116" s="136"/>
      <c r="J116" s="136"/>
      <c r="K116" s="136"/>
      <c r="L116" s="324"/>
      <c r="M116" s="136"/>
      <c r="N116" s="136"/>
      <c r="O116" s="136"/>
      <c r="P116" s="324"/>
      <c r="Q116" s="247"/>
      <c r="R116" s="247"/>
      <c r="S116" s="247"/>
      <c r="T116" s="309"/>
      <c r="U116" s="324">
        <f t="shared" ref="U116" si="64">I116+M116</f>
        <v>0</v>
      </c>
      <c r="V116" s="324">
        <f t="shared" ref="V116" si="65">J116+N116</f>
        <v>0</v>
      </c>
      <c r="W116" s="324">
        <f t="shared" ref="W116" si="66">K116+O116</f>
        <v>0</v>
      </c>
      <c r="X116" s="324"/>
      <c r="Y116" s="324"/>
      <c r="Z116" s="170"/>
    </row>
    <row r="117" spans="1:26">
      <c r="A117" s="314"/>
      <c r="B117" s="23" t="s">
        <v>29</v>
      </c>
      <c r="C117" s="322"/>
      <c r="D117" s="405"/>
      <c r="E117" s="329"/>
      <c r="F117" s="329"/>
      <c r="G117" s="140">
        <v>0</v>
      </c>
      <c r="H117" s="136"/>
      <c r="I117" s="136"/>
      <c r="J117" s="136"/>
      <c r="K117" s="136"/>
      <c r="L117" s="140">
        <v>0</v>
      </c>
      <c r="M117" s="136"/>
      <c r="N117" s="136"/>
      <c r="O117" s="136"/>
      <c r="P117" s="254">
        <v>0</v>
      </c>
      <c r="Q117" s="247"/>
      <c r="R117" s="247"/>
      <c r="S117" s="247"/>
      <c r="T117" s="150">
        <f>H117+L117</f>
        <v>0</v>
      </c>
      <c r="U117" s="257">
        <f>I117+M117+Q117</f>
        <v>0</v>
      </c>
      <c r="V117" s="150">
        <f t="shared" si="52"/>
        <v>0</v>
      </c>
      <c r="W117" s="150">
        <f t="shared" si="53"/>
        <v>0</v>
      </c>
      <c r="X117" s="136"/>
      <c r="Y117" s="136"/>
      <c r="Z117" s="170"/>
    </row>
    <row r="118" spans="1:26">
      <c r="A118" s="314"/>
      <c r="B118" s="41" t="s">
        <v>39</v>
      </c>
      <c r="C118" s="322"/>
      <c r="D118" s="405"/>
      <c r="E118" s="329"/>
      <c r="F118" s="329"/>
      <c r="G118" s="139">
        <v>0</v>
      </c>
      <c r="H118" s="136"/>
      <c r="I118" s="136"/>
      <c r="J118" s="136"/>
      <c r="K118" s="136"/>
      <c r="L118" s="139">
        <v>0</v>
      </c>
      <c r="M118" s="136"/>
      <c r="N118" s="136"/>
      <c r="O118" s="136"/>
      <c r="P118" s="253">
        <v>0</v>
      </c>
      <c r="Q118" s="247"/>
      <c r="R118" s="247"/>
      <c r="S118" s="247"/>
      <c r="T118" s="151">
        <f t="shared" ref="T118:T124" si="67">H118+L118</f>
        <v>0</v>
      </c>
      <c r="U118" s="258">
        <f>I118+M118+Q118</f>
        <v>0</v>
      </c>
      <c r="V118" s="151">
        <f t="shared" si="52"/>
        <v>0</v>
      </c>
      <c r="W118" s="151">
        <f t="shared" si="53"/>
        <v>0</v>
      </c>
      <c r="X118" s="136"/>
      <c r="Y118" s="136"/>
      <c r="Z118" s="170"/>
    </row>
    <row r="119" spans="1:26">
      <c r="A119" s="314"/>
      <c r="B119" s="23" t="s">
        <v>30</v>
      </c>
      <c r="C119" s="322"/>
      <c r="D119" s="405"/>
      <c r="E119" s="329"/>
      <c r="F119" s="329"/>
      <c r="G119" s="140">
        <v>0</v>
      </c>
      <c r="H119" s="136"/>
      <c r="I119" s="136"/>
      <c r="J119" s="136"/>
      <c r="K119" s="136"/>
      <c r="L119" s="140">
        <v>0</v>
      </c>
      <c r="M119" s="136"/>
      <c r="N119" s="136"/>
      <c r="O119" s="136"/>
      <c r="P119" s="254">
        <v>0</v>
      </c>
      <c r="Q119" s="247"/>
      <c r="R119" s="247"/>
      <c r="S119" s="247"/>
      <c r="T119" s="150">
        <f t="shared" si="67"/>
        <v>0</v>
      </c>
      <c r="U119" s="257">
        <f>I119+M119+Q119</f>
        <v>0</v>
      </c>
      <c r="V119" s="150">
        <f t="shared" si="52"/>
        <v>0</v>
      </c>
      <c r="W119" s="150">
        <f t="shared" si="53"/>
        <v>0</v>
      </c>
      <c r="X119" s="136"/>
      <c r="Y119" s="136"/>
      <c r="Z119" s="170"/>
    </row>
    <row r="120" spans="1:26">
      <c r="A120" s="314"/>
      <c r="B120" s="41" t="s">
        <v>31</v>
      </c>
      <c r="C120" s="391"/>
      <c r="D120" s="405"/>
      <c r="E120" s="329"/>
      <c r="F120" s="329"/>
      <c r="G120" s="139">
        <v>0</v>
      </c>
      <c r="H120" s="140"/>
      <c r="I120" s="140"/>
      <c r="J120" s="140"/>
      <c r="K120" s="140"/>
      <c r="L120" s="139">
        <v>0</v>
      </c>
      <c r="M120" s="140"/>
      <c r="N120" s="140"/>
      <c r="O120" s="140"/>
      <c r="P120" s="253">
        <v>0</v>
      </c>
      <c r="Q120" s="254"/>
      <c r="R120" s="254"/>
      <c r="S120" s="254"/>
      <c r="T120" s="151">
        <f t="shared" si="67"/>
        <v>0</v>
      </c>
      <c r="U120" s="258">
        <f>I120+M120+Q120</f>
        <v>0</v>
      </c>
      <c r="V120" s="151">
        <f t="shared" si="52"/>
        <v>0</v>
      </c>
      <c r="W120" s="151">
        <f t="shared" si="53"/>
        <v>0</v>
      </c>
      <c r="X120" s="140"/>
      <c r="Y120" s="140"/>
      <c r="Z120" s="170"/>
    </row>
    <row r="121" spans="1:26">
      <c r="A121" s="314"/>
      <c r="B121" s="41" t="s">
        <v>32</v>
      </c>
      <c r="C121" s="391"/>
      <c r="D121" s="405"/>
      <c r="E121" s="329"/>
      <c r="F121" s="329"/>
      <c r="G121" s="139">
        <v>0</v>
      </c>
      <c r="H121" s="140"/>
      <c r="I121" s="140"/>
      <c r="J121" s="140"/>
      <c r="K121" s="140"/>
      <c r="L121" s="139">
        <v>0</v>
      </c>
      <c r="M121" s="140"/>
      <c r="N121" s="140"/>
      <c r="O121" s="140"/>
      <c r="P121" s="253">
        <v>0</v>
      </c>
      <c r="Q121" s="254"/>
      <c r="R121" s="254"/>
      <c r="S121" s="254"/>
      <c r="T121" s="151">
        <f t="shared" si="67"/>
        <v>0</v>
      </c>
      <c r="U121" s="258">
        <f t="shared" ref="U121:U122" si="68">I121+M121+Q121</f>
        <v>0</v>
      </c>
      <c r="V121" s="151">
        <f t="shared" si="52"/>
        <v>0</v>
      </c>
      <c r="W121" s="151">
        <f t="shared" si="53"/>
        <v>0</v>
      </c>
      <c r="X121" s="140"/>
      <c r="Y121" s="140"/>
      <c r="Z121" s="170"/>
    </row>
    <row r="122" spans="1:26">
      <c r="A122" s="314"/>
      <c r="B122" s="41" t="s">
        <v>33</v>
      </c>
      <c r="C122" s="391"/>
      <c r="D122" s="405"/>
      <c r="E122" s="329"/>
      <c r="F122" s="329"/>
      <c r="G122" s="139">
        <v>0</v>
      </c>
      <c r="H122" s="140"/>
      <c r="I122" s="140"/>
      <c r="J122" s="140"/>
      <c r="K122" s="140"/>
      <c r="L122" s="139">
        <v>0</v>
      </c>
      <c r="M122" s="140"/>
      <c r="N122" s="140"/>
      <c r="O122" s="140"/>
      <c r="P122" s="253">
        <v>0</v>
      </c>
      <c r="Q122" s="254"/>
      <c r="R122" s="254"/>
      <c r="S122" s="254"/>
      <c r="T122" s="151">
        <f t="shared" si="67"/>
        <v>0</v>
      </c>
      <c r="U122" s="258">
        <f t="shared" si="68"/>
        <v>0</v>
      </c>
      <c r="V122" s="151">
        <f t="shared" si="52"/>
        <v>0</v>
      </c>
      <c r="W122" s="151">
        <f t="shared" si="53"/>
        <v>0</v>
      </c>
      <c r="X122" s="140"/>
      <c r="Y122" s="140"/>
      <c r="Z122" s="170"/>
    </row>
    <row r="123" spans="1:26">
      <c r="A123" s="314"/>
      <c r="B123" s="23" t="s">
        <v>37</v>
      </c>
      <c r="C123" s="391"/>
      <c r="D123" s="406"/>
      <c r="E123" s="393"/>
      <c r="F123" s="393"/>
      <c r="G123" s="140">
        <v>0</v>
      </c>
      <c r="H123" s="140"/>
      <c r="I123" s="140"/>
      <c r="J123" s="140"/>
      <c r="K123" s="140"/>
      <c r="L123" s="140">
        <v>0</v>
      </c>
      <c r="M123" s="140"/>
      <c r="N123" s="140"/>
      <c r="O123" s="140"/>
      <c r="P123" s="254">
        <v>0</v>
      </c>
      <c r="Q123" s="254"/>
      <c r="R123" s="254"/>
      <c r="S123" s="254"/>
      <c r="T123" s="150">
        <f t="shared" si="67"/>
        <v>0</v>
      </c>
      <c r="U123" s="257">
        <f>I123+M123+Q123</f>
        <v>0</v>
      </c>
      <c r="V123" s="150">
        <f t="shared" si="52"/>
        <v>0</v>
      </c>
      <c r="W123" s="150">
        <f t="shared" si="53"/>
        <v>0</v>
      </c>
      <c r="X123" s="140"/>
      <c r="Y123" s="140"/>
      <c r="Z123" s="170"/>
    </row>
    <row r="124" spans="1:26">
      <c r="A124" s="315"/>
      <c r="B124" s="23" t="s">
        <v>38</v>
      </c>
      <c r="C124" s="392"/>
      <c r="D124" s="407"/>
      <c r="E124" s="394"/>
      <c r="F124" s="394"/>
      <c r="G124" s="140">
        <v>0</v>
      </c>
      <c r="H124" s="140"/>
      <c r="I124" s="140"/>
      <c r="J124" s="140"/>
      <c r="K124" s="140"/>
      <c r="L124" s="140">
        <v>0</v>
      </c>
      <c r="M124" s="140"/>
      <c r="N124" s="140"/>
      <c r="O124" s="140"/>
      <c r="P124" s="254">
        <v>0</v>
      </c>
      <c r="Q124" s="254"/>
      <c r="R124" s="254"/>
      <c r="S124" s="254"/>
      <c r="T124" s="150">
        <f t="shared" si="67"/>
        <v>0</v>
      </c>
      <c r="U124" s="257">
        <f>I124+M124+Q124</f>
        <v>0</v>
      </c>
      <c r="V124" s="150">
        <f t="shared" si="52"/>
        <v>0</v>
      </c>
      <c r="W124" s="150">
        <f t="shared" si="53"/>
        <v>0</v>
      </c>
      <c r="X124" s="140"/>
      <c r="Y124" s="140"/>
      <c r="Z124" s="171"/>
    </row>
    <row r="125" spans="1:26" ht="25.5">
      <c r="A125" s="313" t="s">
        <v>131</v>
      </c>
      <c r="B125" s="16" t="s">
        <v>112</v>
      </c>
      <c r="C125" s="395" t="s">
        <v>43</v>
      </c>
      <c r="D125" s="404" t="s">
        <v>49</v>
      </c>
      <c r="E125" s="328"/>
      <c r="F125" s="328" t="s">
        <v>18</v>
      </c>
      <c r="G125" s="25">
        <f>G126+G128+G130+G134+G135</f>
        <v>2899.6</v>
      </c>
      <c r="H125" s="25">
        <f>H126+H128+H130+H134+H135</f>
        <v>0</v>
      </c>
      <c r="I125" s="140"/>
      <c r="J125" s="140"/>
      <c r="K125" s="140"/>
      <c r="L125" s="25">
        <f>L126+L128+L130+L134+L135</f>
        <v>263.60000000000002</v>
      </c>
      <c r="M125" s="140">
        <v>0</v>
      </c>
      <c r="N125" s="140">
        <v>0</v>
      </c>
      <c r="O125" s="140">
        <v>0</v>
      </c>
      <c r="P125" s="25">
        <f>P126+P128+P130+P134+P135</f>
        <v>2636</v>
      </c>
      <c r="Q125" s="254">
        <v>0</v>
      </c>
      <c r="R125" s="254">
        <v>0</v>
      </c>
      <c r="S125" s="254">
        <v>0</v>
      </c>
      <c r="T125" s="25">
        <f>H125+L125+P125</f>
        <v>2899.6</v>
      </c>
      <c r="U125" s="25">
        <f>I125+M125+Q125</f>
        <v>0</v>
      </c>
      <c r="V125" s="25">
        <f t="shared" ref="V125:W126" si="69">J125+N125+R125</f>
        <v>0</v>
      </c>
      <c r="W125" s="25">
        <f t="shared" si="69"/>
        <v>0</v>
      </c>
      <c r="X125" s="140"/>
      <c r="Y125" s="140"/>
      <c r="Z125" s="172"/>
    </row>
    <row r="126" spans="1:26">
      <c r="A126" s="314"/>
      <c r="B126" s="22" t="s">
        <v>127</v>
      </c>
      <c r="C126" s="322"/>
      <c r="D126" s="405"/>
      <c r="E126" s="329"/>
      <c r="F126" s="329"/>
      <c r="G126" s="323">
        <v>2899.6</v>
      </c>
      <c r="H126" s="323"/>
      <c r="I126" s="134"/>
      <c r="J126" s="134"/>
      <c r="K126" s="134"/>
      <c r="L126" s="323">
        <v>263.60000000000002</v>
      </c>
      <c r="M126" s="134"/>
      <c r="N126" s="134"/>
      <c r="O126" s="134"/>
      <c r="P126" s="323">
        <v>2636</v>
      </c>
      <c r="Q126" s="245"/>
      <c r="R126" s="245"/>
      <c r="S126" s="245"/>
      <c r="T126" s="389">
        <f t="shared" ref="T126" si="70">H126+L126+P126</f>
        <v>2899.6</v>
      </c>
      <c r="U126" s="323">
        <f>I126+M126+Q126</f>
        <v>0</v>
      </c>
      <c r="V126" s="323">
        <f t="shared" si="69"/>
        <v>0</v>
      </c>
      <c r="W126" s="323">
        <f t="shared" si="69"/>
        <v>0</v>
      </c>
      <c r="X126" s="323">
        <v>263.60000000000002</v>
      </c>
      <c r="Y126" s="323">
        <v>2636</v>
      </c>
      <c r="Z126" s="170"/>
    </row>
    <row r="127" spans="1:26">
      <c r="A127" s="314"/>
      <c r="B127" s="40" t="s">
        <v>27</v>
      </c>
      <c r="C127" s="322"/>
      <c r="D127" s="405"/>
      <c r="E127" s="329"/>
      <c r="F127" s="329"/>
      <c r="G127" s="394"/>
      <c r="H127" s="324"/>
      <c r="I127" s="136"/>
      <c r="J127" s="136"/>
      <c r="K127" s="136"/>
      <c r="L127" s="324"/>
      <c r="M127" s="136"/>
      <c r="N127" s="136"/>
      <c r="O127" s="136"/>
      <c r="P127" s="324"/>
      <c r="Q127" s="247"/>
      <c r="R127" s="247"/>
      <c r="S127" s="247"/>
      <c r="T127" s="309"/>
      <c r="U127" s="324">
        <f t="shared" ref="U127" si="71">I127+M127</f>
        <v>0</v>
      </c>
      <c r="V127" s="324">
        <f t="shared" ref="V127" si="72">J127+N127</f>
        <v>0</v>
      </c>
      <c r="W127" s="324">
        <f t="shared" ref="W127" si="73">K127+O127</f>
        <v>0</v>
      </c>
      <c r="X127" s="324"/>
      <c r="Y127" s="324"/>
      <c r="Z127" s="170"/>
    </row>
    <row r="128" spans="1:26">
      <c r="A128" s="314"/>
      <c r="B128" s="23" t="s">
        <v>29</v>
      </c>
      <c r="C128" s="322"/>
      <c r="D128" s="405"/>
      <c r="E128" s="329"/>
      <c r="F128" s="329"/>
      <c r="G128" s="140">
        <v>0</v>
      </c>
      <c r="H128" s="136"/>
      <c r="I128" s="136"/>
      <c r="J128" s="136"/>
      <c r="K128" s="136"/>
      <c r="L128" s="140">
        <v>0</v>
      </c>
      <c r="M128" s="136"/>
      <c r="N128" s="136"/>
      <c r="O128" s="136"/>
      <c r="P128" s="254">
        <v>0</v>
      </c>
      <c r="Q128" s="247"/>
      <c r="R128" s="247"/>
      <c r="S128" s="247"/>
      <c r="T128" s="150">
        <f>H128+L128</f>
        <v>0</v>
      </c>
      <c r="U128" s="257">
        <f>I128+M128+Q128</f>
        <v>0</v>
      </c>
      <c r="V128" s="150">
        <f t="shared" si="52"/>
        <v>0</v>
      </c>
      <c r="W128" s="150">
        <f t="shared" si="53"/>
        <v>0</v>
      </c>
      <c r="X128" s="136"/>
      <c r="Y128" s="136"/>
      <c r="Z128" s="170"/>
    </row>
    <row r="129" spans="1:26">
      <c r="A129" s="314"/>
      <c r="B129" s="41" t="s">
        <v>39</v>
      </c>
      <c r="C129" s="322"/>
      <c r="D129" s="405"/>
      <c r="E129" s="329"/>
      <c r="F129" s="329"/>
      <c r="G129" s="139">
        <v>0</v>
      </c>
      <c r="H129" s="136"/>
      <c r="I129" s="136"/>
      <c r="J129" s="136"/>
      <c r="K129" s="136"/>
      <c r="L129" s="139">
        <v>0</v>
      </c>
      <c r="M129" s="136"/>
      <c r="N129" s="136"/>
      <c r="O129" s="136"/>
      <c r="P129" s="253">
        <v>0</v>
      </c>
      <c r="Q129" s="247"/>
      <c r="R129" s="247"/>
      <c r="S129" s="247"/>
      <c r="T129" s="151">
        <f t="shared" ref="T129:T135" si="74">H129+L129</f>
        <v>0</v>
      </c>
      <c r="U129" s="258">
        <f>I129+M129+Q129</f>
        <v>0</v>
      </c>
      <c r="V129" s="151">
        <f t="shared" si="52"/>
        <v>0</v>
      </c>
      <c r="W129" s="151">
        <f t="shared" si="53"/>
        <v>0</v>
      </c>
      <c r="X129" s="136"/>
      <c r="Y129" s="136"/>
      <c r="Z129" s="170"/>
    </row>
    <row r="130" spans="1:26">
      <c r="A130" s="314"/>
      <c r="B130" s="23" t="s">
        <v>30</v>
      </c>
      <c r="C130" s="322"/>
      <c r="D130" s="405"/>
      <c r="E130" s="329"/>
      <c r="F130" s="329"/>
      <c r="G130" s="140">
        <v>0</v>
      </c>
      <c r="H130" s="136"/>
      <c r="I130" s="136"/>
      <c r="J130" s="136"/>
      <c r="K130" s="136"/>
      <c r="L130" s="140">
        <v>0</v>
      </c>
      <c r="M130" s="136"/>
      <c r="N130" s="136"/>
      <c r="O130" s="136"/>
      <c r="P130" s="254">
        <v>0</v>
      </c>
      <c r="Q130" s="247"/>
      <c r="R130" s="247"/>
      <c r="S130" s="247"/>
      <c r="T130" s="150">
        <f t="shared" si="74"/>
        <v>0</v>
      </c>
      <c r="U130" s="257">
        <f>I130+M130+Q130</f>
        <v>0</v>
      </c>
      <c r="V130" s="150">
        <f t="shared" si="52"/>
        <v>0</v>
      </c>
      <c r="W130" s="150">
        <f t="shared" si="53"/>
        <v>0</v>
      </c>
      <c r="X130" s="136"/>
      <c r="Y130" s="136"/>
      <c r="Z130" s="170"/>
    </row>
    <row r="131" spans="1:26">
      <c r="A131" s="314"/>
      <c r="B131" s="41" t="s">
        <v>31</v>
      </c>
      <c r="C131" s="391"/>
      <c r="D131" s="405"/>
      <c r="E131" s="329"/>
      <c r="F131" s="329"/>
      <c r="G131" s="139">
        <v>0</v>
      </c>
      <c r="H131" s="140"/>
      <c r="I131" s="140"/>
      <c r="J131" s="140"/>
      <c r="K131" s="140"/>
      <c r="L131" s="139">
        <v>0</v>
      </c>
      <c r="M131" s="140"/>
      <c r="N131" s="140"/>
      <c r="O131" s="140"/>
      <c r="P131" s="253">
        <v>0</v>
      </c>
      <c r="Q131" s="254"/>
      <c r="R131" s="254"/>
      <c r="S131" s="254"/>
      <c r="T131" s="151">
        <f t="shared" si="74"/>
        <v>0</v>
      </c>
      <c r="U131" s="258">
        <f>I131+M131+Q131</f>
        <v>0</v>
      </c>
      <c r="V131" s="151">
        <f t="shared" si="52"/>
        <v>0</v>
      </c>
      <c r="W131" s="151">
        <f t="shared" si="53"/>
        <v>0</v>
      </c>
      <c r="X131" s="140"/>
      <c r="Y131" s="140"/>
      <c r="Z131" s="170"/>
    </row>
    <row r="132" spans="1:26">
      <c r="A132" s="314"/>
      <c r="B132" s="41" t="s">
        <v>32</v>
      </c>
      <c r="C132" s="391"/>
      <c r="D132" s="405"/>
      <c r="E132" s="329"/>
      <c r="F132" s="329"/>
      <c r="G132" s="139">
        <v>0</v>
      </c>
      <c r="H132" s="140"/>
      <c r="I132" s="140"/>
      <c r="J132" s="140"/>
      <c r="K132" s="140"/>
      <c r="L132" s="139">
        <v>0</v>
      </c>
      <c r="M132" s="140"/>
      <c r="N132" s="140"/>
      <c r="O132" s="140"/>
      <c r="P132" s="253">
        <v>0</v>
      </c>
      <c r="Q132" s="254"/>
      <c r="R132" s="254"/>
      <c r="S132" s="254"/>
      <c r="T132" s="151">
        <f t="shared" si="74"/>
        <v>0</v>
      </c>
      <c r="U132" s="258">
        <f t="shared" ref="U132:U133" si="75">I132+M132+Q132</f>
        <v>0</v>
      </c>
      <c r="V132" s="151">
        <f t="shared" si="52"/>
        <v>0</v>
      </c>
      <c r="W132" s="151">
        <f t="shared" si="53"/>
        <v>0</v>
      </c>
      <c r="X132" s="140"/>
      <c r="Y132" s="140"/>
      <c r="Z132" s="170"/>
    </row>
    <row r="133" spans="1:26">
      <c r="A133" s="314"/>
      <c r="B133" s="41" t="s">
        <v>33</v>
      </c>
      <c r="C133" s="391"/>
      <c r="D133" s="405"/>
      <c r="E133" s="329"/>
      <c r="F133" s="329"/>
      <c r="G133" s="139">
        <v>0</v>
      </c>
      <c r="H133" s="140"/>
      <c r="I133" s="140"/>
      <c r="J133" s="140"/>
      <c r="K133" s="140"/>
      <c r="L133" s="139">
        <v>0</v>
      </c>
      <c r="M133" s="140"/>
      <c r="N133" s="140"/>
      <c r="O133" s="140"/>
      <c r="P133" s="253">
        <v>0</v>
      </c>
      <c r="Q133" s="254"/>
      <c r="R133" s="254"/>
      <c r="S133" s="254"/>
      <c r="T133" s="151">
        <f t="shared" si="74"/>
        <v>0</v>
      </c>
      <c r="U133" s="258">
        <f t="shared" si="75"/>
        <v>0</v>
      </c>
      <c r="V133" s="151">
        <f t="shared" si="52"/>
        <v>0</v>
      </c>
      <c r="W133" s="151">
        <f t="shared" si="53"/>
        <v>0</v>
      </c>
      <c r="X133" s="140"/>
      <c r="Y133" s="140"/>
      <c r="Z133" s="170"/>
    </row>
    <row r="134" spans="1:26">
      <c r="A134" s="314"/>
      <c r="B134" s="23" t="s">
        <v>37</v>
      </c>
      <c r="C134" s="391"/>
      <c r="D134" s="406"/>
      <c r="E134" s="393"/>
      <c r="F134" s="393"/>
      <c r="G134" s="140">
        <v>0</v>
      </c>
      <c r="H134" s="140"/>
      <c r="I134" s="140"/>
      <c r="J134" s="140"/>
      <c r="K134" s="140"/>
      <c r="L134" s="140">
        <v>0</v>
      </c>
      <c r="M134" s="140"/>
      <c r="N134" s="140"/>
      <c r="O134" s="140"/>
      <c r="P134" s="254">
        <v>0</v>
      </c>
      <c r="Q134" s="254"/>
      <c r="R134" s="254"/>
      <c r="S134" s="254"/>
      <c r="T134" s="150">
        <f t="shared" si="74"/>
        <v>0</v>
      </c>
      <c r="U134" s="257">
        <f>I134+M134+Q134</f>
        <v>0</v>
      </c>
      <c r="V134" s="150">
        <f t="shared" si="52"/>
        <v>0</v>
      </c>
      <c r="W134" s="150">
        <f t="shared" si="53"/>
        <v>0</v>
      </c>
      <c r="X134" s="140"/>
      <c r="Y134" s="140"/>
      <c r="Z134" s="170"/>
    </row>
    <row r="135" spans="1:26">
      <c r="A135" s="315"/>
      <c r="B135" s="23" t="s">
        <v>38</v>
      </c>
      <c r="C135" s="392"/>
      <c r="D135" s="407"/>
      <c r="E135" s="394"/>
      <c r="F135" s="394"/>
      <c r="G135" s="140">
        <v>0</v>
      </c>
      <c r="H135" s="140"/>
      <c r="I135" s="140"/>
      <c r="J135" s="140"/>
      <c r="K135" s="140"/>
      <c r="L135" s="140">
        <v>0</v>
      </c>
      <c r="M135" s="140"/>
      <c r="N135" s="140"/>
      <c r="O135" s="140"/>
      <c r="P135" s="254">
        <v>0</v>
      </c>
      <c r="Q135" s="254"/>
      <c r="R135" s="254"/>
      <c r="S135" s="254"/>
      <c r="T135" s="150">
        <f t="shared" si="74"/>
        <v>0</v>
      </c>
      <c r="U135" s="257">
        <f>I135+M135+Q135</f>
        <v>0</v>
      </c>
      <c r="V135" s="150">
        <f t="shared" si="52"/>
        <v>0</v>
      </c>
      <c r="W135" s="150">
        <f t="shared" si="53"/>
        <v>0</v>
      </c>
      <c r="X135" s="140"/>
      <c r="Y135" s="140"/>
      <c r="Z135" s="170"/>
    </row>
    <row r="136" spans="1:26" ht="25.5">
      <c r="A136" s="313" t="s">
        <v>134</v>
      </c>
      <c r="B136" s="16" t="s">
        <v>106</v>
      </c>
      <c r="C136" s="173"/>
      <c r="D136" s="174"/>
      <c r="E136" s="175"/>
      <c r="F136" s="175"/>
      <c r="G136" s="25">
        <f>G137</f>
        <v>370824.7</v>
      </c>
      <c r="H136" s="25">
        <f>H137</f>
        <v>60000</v>
      </c>
      <c r="I136" s="25">
        <f t="shared" ref="I136:K136" si="76">I137</f>
        <v>0</v>
      </c>
      <c r="J136" s="25">
        <f t="shared" si="76"/>
        <v>51257.179999999993</v>
      </c>
      <c r="K136" s="25">
        <f t="shared" si="76"/>
        <v>83705.675999999978</v>
      </c>
      <c r="L136" s="25">
        <f>L137</f>
        <v>155412.4</v>
      </c>
      <c r="M136" s="25">
        <f t="shared" ref="M136:S136" si="77">M137</f>
        <v>0</v>
      </c>
      <c r="N136" s="25">
        <f t="shared" si="77"/>
        <v>3488.7990000000009</v>
      </c>
      <c r="O136" s="25">
        <f t="shared" si="77"/>
        <v>0</v>
      </c>
      <c r="P136" s="25">
        <f>P137</f>
        <v>155412.29999999999</v>
      </c>
      <c r="Q136" s="25">
        <f t="shared" si="77"/>
        <v>0</v>
      </c>
      <c r="R136" s="25">
        <f t="shared" si="77"/>
        <v>0</v>
      </c>
      <c r="S136" s="25">
        <f t="shared" si="77"/>
        <v>0</v>
      </c>
      <c r="T136" s="25">
        <f>H136+L136+P136</f>
        <v>370824.69999999995</v>
      </c>
      <c r="U136" s="25">
        <f>I136+M136+Q136</f>
        <v>0</v>
      </c>
      <c r="V136" s="25">
        <f t="shared" ref="V136:W137" si="78">J136+N136+R136</f>
        <v>54745.978999999992</v>
      </c>
      <c r="W136" s="25">
        <f t="shared" si="78"/>
        <v>83705.675999999978</v>
      </c>
      <c r="X136" s="25"/>
      <c r="Y136" s="25"/>
      <c r="Z136" s="170"/>
    </row>
    <row r="137" spans="1:26" ht="24.75" customHeight="1">
      <c r="A137" s="393"/>
      <c r="B137" s="22" t="s">
        <v>127</v>
      </c>
      <c r="C137" s="173"/>
      <c r="D137" s="174"/>
      <c r="E137" s="175"/>
      <c r="F137" s="175"/>
      <c r="G137" s="323">
        <v>370824.7</v>
      </c>
      <c r="H137" s="386">
        <v>60000</v>
      </c>
      <c r="I137" s="386"/>
      <c r="J137" s="386">
        <f>9233.2+4176.39+20704.22-1+2963.52-200+14380.85</f>
        <v>51257.179999999993</v>
      </c>
      <c r="K137" s="386">
        <f>200+490.405+13192.051+22462.142+360.143-0.8+32821.085-200+14380.65</f>
        <v>83705.675999999978</v>
      </c>
      <c r="L137" s="386">
        <v>155412.4</v>
      </c>
      <c r="M137" s="137">
        <v>0</v>
      </c>
      <c r="N137" s="137">
        <f>8608.799-5120</f>
        <v>3488.7990000000009</v>
      </c>
      <c r="O137" s="137">
        <v>0</v>
      </c>
      <c r="P137" s="386">
        <v>155412.29999999999</v>
      </c>
      <c r="Q137" s="251">
        <v>0</v>
      </c>
      <c r="R137" s="289">
        <f>8706.75-6569.746-2137.004</f>
        <v>0</v>
      </c>
      <c r="S137" s="251">
        <v>0</v>
      </c>
      <c r="T137" s="389">
        <f t="shared" ref="T137" si="79">H137+L137+P137</f>
        <v>370824.69999999995</v>
      </c>
      <c r="U137" s="323">
        <f>I137+M137+Q137</f>
        <v>0</v>
      </c>
      <c r="V137" s="323">
        <f t="shared" si="78"/>
        <v>54745.978999999992</v>
      </c>
      <c r="W137" s="323">
        <f t="shared" si="78"/>
        <v>83705.675999999978</v>
      </c>
      <c r="X137" s="386">
        <v>155412.4</v>
      </c>
      <c r="Y137" s="386">
        <v>155412.29999999999</v>
      </c>
      <c r="Z137" s="170"/>
    </row>
    <row r="138" spans="1:26">
      <c r="A138" s="394"/>
      <c r="B138" s="40" t="s">
        <v>27</v>
      </c>
      <c r="C138" s="173"/>
      <c r="D138" s="174"/>
      <c r="E138" s="175"/>
      <c r="F138" s="175"/>
      <c r="G138" s="394"/>
      <c r="H138" s="390"/>
      <c r="I138" s="390"/>
      <c r="J138" s="390"/>
      <c r="K138" s="390"/>
      <c r="L138" s="390"/>
      <c r="M138" s="138"/>
      <c r="N138" s="138"/>
      <c r="O138" s="138"/>
      <c r="P138" s="390"/>
      <c r="Q138" s="252"/>
      <c r="R138" s="252"/>
      <c r="S138" s="252"/>
      <c r="T138" s="309"/>
      <c r="U138" s="324">
        <f t="shared" si="51"/>
        <v>0</v>
      </c>
      <c r="V138" s="324">
        <f t="shared" ref="V138" si="80">J138+N138</f>
        <v>0</v>
      </c>
      <c r="W138" s="324">
        <f t="shared" ref="W138" si="81">K138+O138</f>
        <v>0</v>
      </c>
      <c r="X138" s="390"/>
      <c r="Y138" s="390"/>
      <c r="Z138" s="170"/>
    </row>
    <row r="139" spans="1:26" ht="15">
      <c r="A139" s="320"/>
      <c r="B139" s="17" t="s">
        <v>14</v>
      </c>
      <c r="C139" s="362"/>
      <c r="D139" s="433"/>
      <c r="E139" s="358">
        <f>G81+G61+G6+G92+G103+G114+G125+G136+G31</f>
        <v>1978015.7</v>
      </c>
      <c r="F139" s="358">
        <f>G82+G62+G7+G93+G104+G115+G126+G137+G32</f>
        <v>1228525.5</v>
      </c>
      <c r="G139" s="140">
        <f>G140+G142+G144+G148+G150+G149</f>
        <v>1978015.7</v>
      </c>
      <c r="H139" s="140">
        <f>H140+H142+H144+H148+H150+H149</f>
        <v>663142.40000000002</v>
      </c>
      <c r="I139" s="140">
        <f t="shared" ref="I139:J139" si="82">I140+I142+I144+I148+I150+I149</f>
        <v>421549.60199999996</v>
      </c>
      <c r="J139" s="140">
        <f t="shared" si="82"/>
        <v>297016.77</v>
      </c>
      <c r="K139" s="140">
        <f>K140+K142+K144+K148+K150+K149</f>
        <v>329465.266</v>
      </c>
      <c r="L139" s="140">
        <f>L140+L142+L144+L148+L150+L149</f>
        <v>989533</v>
      </c>
      <c r="M139" s="140">
        <f>M140+M142+M144+M148+M150+M149</f>
        <v>98292.13</v>
      </c>
      <c r="N139" s="140">
        <f t="shared" ref="N139:O139" si="83">N140+N142+N144+N148+N150+N149</f>
        <v>500465.63</v>
      </c>
      <c r="O139" s="140">
        <f t="shared" si="83"/>
        <v>147236.77400000003</v>
      </c>
      <c r="P139" s="254">
        <f>P140+P142+P144+P148+P150+P149</f>
        <v>325340.3</v>
      </c>
      <c r="Q139" s="254">
        <f>Q140+Q142+Q144+Q148+Q150+Q149</f>
        <v>48906.362000000001</v>
      </c>
      <c r="R139" s="254">
        <f t="shared" ref="R139:S139" si="84">R140+R142+R144+R148+R150+R149</f>
        <v>129819.58300000001</v>
      </c>
      <c r="S139" s="254">
        <f t="shared" si="84"/>
        <v>165754.70199999999</v>
      </c>
      <c r="T139" s="140">
        <f>T140+T142+T144+T148+T150+T149</f>
        <v>1978015.7</v>
      </c>
      <c r="U139" s="150">
        <f>U140+U142+U144+U148+U150+U149</f>
        <v>568748.09400000004</v>
      </c>
      <c r="V139" s="283">
        <f t="shared" ref="V139:W139" si="85">V140+V142+V144+V148+V150+V149</f>
        <v>927301.98300000001</v>
      </c>
      <c r="W139" s="283">
        <f t="shared" si="85"/>
        <v>642456.74199999997</v>
      </c>
      <c r="X139" s="140">
        <f>X140+X142+X144+X148+X150+X149</f>
        <v>484314.625</v>
      </c>
      <c r="Y139" s="140">
        <f>Y140+Y142+Y144+Y148+Y150+Y149</f>
        <v>569397.23</v>
      </c>
      <c r="Z139" s="412">
        <f>SUM(H139:Y139)</f>
        <v>9286756.8929999992</v>
      </c>
    </row>
    <row r="140" spans="1:26">
      <c r="A140" s="314"/>
      <c r="B140" s="22" t="s">
        <v>127</v>
      </c>
      <c r="C140" s="363"/>
      <c r="D140" s="354"/>
      <c r="E140" s="359"/>
      <c r="F140" s="359"/>
      <c r="G140" s="323">
        <v>1228525.5</v>
      </c>
      <c r="H140" s="419">
        <f t="shared" ref="H140:Y140" si="86">H82+H62+H7+H93+H32+H104+H115+H126+H137</f>
        <v>85177.2</v>
      </c>
      <c r="I140" s="419">
        <f t="shared" si="86"/>
        <v>224725.40499999997</v>
      </c>
      <c r="J140" s="419">
        <f t="shared" si="86"/>
        <v>75785.167999999991</v>
      </c>
      <c r="K140" s="419">
        <f t="shared" si="86"/>
        <v>108233.66399999998</v>
      </c>
      <c r="L140" s="339">
        <f t="shared" si="86"/>
        <v>818008</v>
      </c>
      <c r="M140" s="419">
        <f>M82+M62+M7+M93+M32+M104+M115+M126+M137</f>
        <v>30001.134000000002</v>
      </c>
      <c r="N140" s="419">
        <f t="shared" si="86"/>
        <v>87509.70199999999</v>
      </c>
      <c r="O140" s="419">
        <f t="shared" si="86"/>
        <v>113214.61500000002</v>
      </c>
      <c r="P140" s="339">
        <f t="shared" ref="P140" si="87">P82+P62+P7+P93+P32+P104+P115+P126+P137</f>
        <v>325340.3</v>
      </c>
      <c r="Q140" s="419">
        <f>Q82+Q62+Q7+Q93+Q32+Q104+Q115+Q126+Q137</f>
        <v>15397.284</v>
      </c>
      <c r="R140" s="419">
        <f t="shared" ref="R140:S140" si="88">R82+R62+R7+R93+R32+R104+R115+R126+R137</f>
        <v>96310.507000000012</v>
      </c>
      <c r="S140" s="419">
        <f t="shared" si="88"/>
        <v>132245.62599999999</v>
      </c>
      <c r="T140" s="339">
        <f>T82+T62+T7+T93+T32+T104+T115+T126+T137</f>
        <v>1228525.5</v>
      </c>
      <c r="U140" s="339">
        <f t="shared" si="86"/>
        <v>270123.82299999997</v>
      </c>
      <c r="V140" s="339">
        <f t="shared" ref="V140:W140" si="89">V82+V62+V7+V93+V32+V104+V115+V126+V137</f>
        <v>259605.37699999998</v>
      </c>
      <c r="W140" s="339">
        <f t="shared" si="89"/>
        <v>353693.90500000003</v>
      </c>
      <c r="X140" s="419">
        <f t="shared" si="86"/>
        <v>312789.625</v>
      </c>
      <c r="Y140" s="419">
        <f t="shared" si="86"/>
        <v>348165.62799999997</v>
      </c>
      <c r="Z140" s="413"/>
    </row>
    <row r="141" spans="1:26">
      <c r="A141" s="314"/>
      <c r="B141" s="40" t="s">
        <v>27</v>
      </c>
      <c r="C141" s="363"/>
      <c r="D141" s="354"/>
      <c r="E141" s="359"/>
      <c r="F141" s="359"/>
      <c r="G141" s="394"/>
      <c r="H141" s="420"/>
      <c r="I141" s="420"/>
      <c r="J141" s="420"/>
      <c r="K141" s="420"/>
      <c r="L141" s="340"/>
      <c r="M141" s="420"/>
      <c r="N141" s="420"/>
      <c r="O141" s="420"/>
      <c r="P141" s="340"/>
      <c r="Q141" s="420"/>
      <c r="R141" s="420"/>
      <c r="S141" s="420"/>
      <c r="T141" s="340"/>
      <c r="U141" s="340"/>
      <c r="V141" s="340"/>
      <c r="W141" s="340"/>
      <c r="X141" s="420"/>
      <c r="Y141" s="420"/>
      <c r="Z141" s="413"/>
    </row>
    <row r="142" spans="1:26">
      <c r="A142" s="314"/>
      <c r="B142" s="23" t="s">
        <v>29</v>
      </c>
      <c r="C142" s="363"/>
      <c r="D142" s="354"/>
      <c r="E142" s="359"/>
      <c r="F142" s="359"/>
      <c r="G142" s="140">
        <f>SUM(G143)</f>
        <v>0</v>
      </c>
      <c r="H142" s="140">
        <f>SUM(H143)</f>
        <v>0</v>
      </c>
      <c r="I142" s="140">
        <f t="shared" ref="I142:W142" si="90">SUM(I143)</f>
        <v>0</v>
      </c>
      <c r="J142" s="140">
        <f t="shared" si="90"/>
        <v>0</v>
      </c>
      <c r="K142" s="140">
        <f t="shared" si="90"/>
        <v>0</v>
      </c>
      <c r="L142" s="140">
        <f t="shared" si="90"/>
        <v>0</v>
      </c>
      <c r="M142" s="140">
        <f t="shared" si="90"/>
        <v>0</v>
      </c>
      <c r="N142" s="140">
        <f t="shared" si="90"/>
        <v>0</v>
      </c>
      <c r="O142" s="140">
        <f t="shared" si="90"/>
        <v>0</v>
      </c>
      <c r="P142" s="254">
        <f t="shared" si="90"/>
        <v>0</v>
      </c>
      <c r="Q142" s="254">
        <f t="shared" si="90"/>
        <v>0</v>
      </c>
      <c r="R142" s="254">
        <f t="shared" si="90"/>
        <v>0</v>
      </c>
      <c r="S142" s="254">
        <f t="shared" si="90"/>
        <v>0</v>
      </c>
      <c r="T142" s="140">
        <f t="shared" si="90"/>
        <v>0</v>
      </c>
      <c r="U142" s="150">
        <f t="shared" si="90"/>
        <v>0</v>
      </c>
      <c r="V142" s="140">
        <f t="shared" si="90"/>
        <v>0</v>
      </c>
      <c r="W142" s="140">
        <f t="shared" si="90"/>
        <v>0</v>
      </c>
      <c r="X142" s="140">
        <f>SUM(X143)</f>
        <v>0</v>
      </c>
      <c r="Y142" s="140">
        <f>SUM(Y143)</f>
        <v>0</v>
      </c>
      <c r="Z142" s="413"/>
    </row>
    <row r="143" spans="1:26">
      <c r="A143" s="314"/>
      <c r="B143" s="44" t="s">
        <v>52</v>
      </c>
      <c r="C143" s="363"/>
      <c r="D143" s="354"/>
      <c r="E143" s="359"/>
      <c r="F143" s="359"/>
      <c r="G143" s="139">
        <f>H143+X143+Y143</f>
        <v>0</v>
      </c>
      <c r="H143" s="139">
        <f t="shared" ref="H143:Y143" si="91">H20+H53+H74+H85+H96</f>
        <v>0</v>
      </c>
      <c r="I143" s="139">
        <f t="shared" si="91"/>
        <v>0</v>
      </c>
      <c r="J143" s="139">
        <f t="shared" si="91"/>
        <v>0</v>
      </c>
      <c r="K143" s="139">
        <f t="shared" si="91"/>
        <v>0</v>
      </c>
      <c r="L143" s="139">
        <f t="shared" ref="L143:W143" si="92">L20+L53+L74+L85+L96</f>
        <v>0</v>
      </c>
      <c r="M143" s="139">
        <f t="shared" si="92"/>
        <v>0</v>
      </c>
      <c r="N143" s="139">
        <f t="shared" si="92"/>
        <v>0</v>
      </c>
      <c r="O143" s="139">
        <f t="shared" si="92"/>
        <v>0</v>
      </c>
      <c r="P143" s="253">
        <f t="shared" ref="P143:S143" si="93">P20+P53+P74+P85+P96</f>
        <v>0</v>
      </c>
      <c r="Q143" s="253">
        <f t="shared" si="93"/>
        <v>0</v>
      </c>
      <c r="R143" s="253">
        <f t="shared" si="93"/>
        <v>0</v>
      </c>
      <c r="S143" s="253">
        <f t="shared" si="93"/>
        <v>0</v>
      </c>
      <c r="T143" s="139">
        <f t="shared" si="92"/>
        <v>0</v>
      </c>
      <c r="U143" s="151">
        <f t="shared" ref="U143" si="94">U20+U53+U74+U85+U96</f>
        <v>0</v>
      </c>
      <c r="V143" s="139">
        <f t="shared" si="92"/>
        <v>0</v>
      </c>
      <c r="W143" s="139">
        <f t="shared" si="92"/>
        <v>0</v>
      </c>
      <c r="X143" s="139">
        <f t="shared" si="91"/>
        <v>0</v>
      </c>
      <c r="Y143" s="139">
        <f t="shared" si="91"/>
        <v>0</v>
      </c>
      <c r="Z143" s="413"/>
    </row>
    <row r="144" spans="1:26">
      <c r="A144" s="314"/>
      <c r="B144" s="23" t="s">
        <v>30</v>
      </c>
      <c r="C144" s="363"/>
      <c r="D144" s="354"/>
      <c r="E144" s="359"/>
      <c r="F144" s="359"/>
      <c r="G144" s="140">
        <f>SUM(G145:G147)</f>
        <v>288390.2</v>
      </c>
      <c r="H144" s="140">
        <f>SUM(H145:H147)</f>
        <v>288390.2</v>
      </c>
      <c r="I144" s="140">
        <f t="shared" ref="I144:K144" si="95">SUM(I145:I147)</f>
        <v>196824.19699999999</v>
      </c>
      <c r="J144" s="140">
        <f t="shared" si="95"/>
        <v>221231.60200000001</v>
      </c>
      <c r="K144" s="140">
        <f t="shared" si="95"/>
        <v>221231.60200000001</v>
      </c>
      <c r="L144" s="140">
        <f t="shared" ref="L144:O144" si="96">SUM(L145:L147)</f>
        <v>0</v>
      </c>
      <c r="M144" s="140">
        <f>SUM(M145:M147)</f>
        <v>41708.159000000007</v>
      </c>
      <c r="N144" s="140">
        <f t="shared" si="96"/>
        <v>17300.758999999998</v>
      </c>
      <c r="O144" s="140">
        <f t="shared" si="96"/>
        <v>17300.755000000001</v>
      </c>
      <c r="P144" s="254">
        <f t="shared" ref="P144" si="97">SUM(P145:P147)</f>
        <v>0</v>
      </c>
      <c r="Q144" s="254">
        <f>SUM(Q145:Q147)</f>
        <v>33509.078000000001</v>
      </c>
      <c r="R144" s="254">
        <f t="shared" ref="R144:S144" si="98">SUM(R145:R147)</f>
        <v>33509.076000000001</v>
      </c>
      <c r="S144" s="254">
        <f t="shared" si="98"/>
        <v>33509.076000000001</v>
      </c>
      <c r="T144" s="140">
        <f>SUM(T145:T147)</f>
        <v>288390.2</v>
      </c>
      <c r="U144" s="150">
        <f t="shared" ref="U144:W144" si="99">SUM(U145:U147)</f>
        <v>272041.43400000001</v>
      </c>
      <c r="V144" s="283">
        <f t="shared" si="99"/>
        <v>272041.43700000003</v>
      </c>
      <c r="W144" s="283">
        <f t="shared" si="99"/>
        <v>272041.43300000002</v>
      </c>
      <c r="X144" s="140">
        <f>SUM(X145:X147)</f>
        <v>0</v>
      </c>
      <c r="Y144" s="140">
        <f>SUM(Y145:Y147)</f>
        <v>221231.60200000001</v>
      </c>
      <c r="Z144" s="413"/>
    </row>
    <row r="145" spans="1:26">
      <c r="A145" s="314"/>
      <c r="B145" s="41" t="s">
        <v>31</v>
      </c>
      <c r="C145" s="399"/>
      <c r="D145" s="434"/>
      <c r="E145" s="401"/>
      <c r="F145" s="401"/>
      <c r="G145" s="139">
        <f>SUM(H145)</f>
        <v>238949</v>
      </c>
      <c r="H145" s="139">
        <f t="shared" ref="H145:Y145" si="100">H22+H87+H76+H98+H55</f>
        <v>238949</v>
      </c>
      <c r="I145" s="139">
        <f t="shared" si="100"/>
        <v>154093.06099999999</v>
      </c>
      <c r="J145" s="139">
        <f t="shared" si="100"/>
        <v>176078.77100000001</v>
      </c>
      <c r="K145" s="139">
        <f t="shared" si="100"/>
        <v>176078.77100000001</v>
      </c>
      <c r="L145" s="139">
        <f>L22+L87+L76+L98+L55</f>
        <v>0</v>
      </c>
      <c r="M145" s="139">
        <f t="shared" ref="M145:W145" si="101">M22+M87+M76+M98+M55</f>
        <v>35366.475000000006</v>
      </c>
      <c r="N145" s="139">
        <f t="shared" si="101"/>
        <v>13380.769</v>
      </c>
      <c r="O145" s="139">
        <f t="shared" si="101"/>
        <v>13380.769</v>
      </c>
      <c r="P145" s="253">
        <f>P22+P87+P76+P98+P55</f>
        <v>0</v>
      </c>
      <c r="Q145" s="253">
        <f t="shared" ref="Q145:S145" si="102">Q22+Q87+Q76+Q98+Q55</f>
        <v>33509.078000000001</v>
      </c>
      <c r="R145" s="253">
        <f t="shared" si="102"/>
        <v>33509.076000000001</v>
      </c>
      <c r="S145" s="253">
        <f t="shared" si="102"/>
        <v>33509.076000000001</v>
      </c>
      <c r="T145" s="139">
        <f t="shared" si="101"/>
        <v>238949</v>
      </c>
      <c r="U145" s="151">
        <f t="shared" ref="U145" si="103">U22+U87+U76+U98+U55</f>
        <v>222968.614</v>
      </c>
      <c r="V145" s="139">
        <f t="shared" si="101"/>
        <v>222968.61600000001</v>
      </c>
      <c r="W145" s="139">
        <f t="shared" si="101"/>
        <v>222968.61600000001</v>
      </c>
      <c r="X145" s="139">
        <f t="shared" si="100"/>
        <v>0</v>
      </c>
      <c r="Y145" s="139">
        <f t="shared" si="100"/>
        <v>176078.77100000001</v>
      </c>
      <c r="Z145" s="413"/>
    </row>
    <row r="146" spans="1:26">
      <c r="A146" s="314"/>
      <c r="B146" s="41" t="s">
        <v>32</v>
      </c>
      <c r="C146" s="399"/>
      <c r="D146" s="434"/>
      <c r="E146" s="401"/>
      <c r="F146" s="401"/>
      <c r="G146" s="139">
        <f t="shared" ref="G146:G147" si="104">SUM(H146)</f>
        <v>9896.9</v>
      </c>
      <c r="H146" s="139">
        <f t="shared" ref="H146:Y146" si="105">H24+H88+H77+H99+H56</f>
        <v>9896.9</v>
      </c>
      <c r="I146" s="139">
        <f t="shared" si="105"/>
        <v>9896.905999999999</v>
      </c>
      <c r="J146" s="139">
        <f t="shared" si="105"/>
        <v>9896.91</v>
      </c>
      <c r="K146" s="139">
        <f t="shared" si="105"/>
        <v>9896.91</v>
      </c>
      <c r="L146" s="139">
        <f>L24+L88+L77+L99+L56</f>
        <v>0</v>
      </c>
      <c r="M146" s="139">
        <f t="shared" ref="M146:W146" si="106">M24+M88+M77+M99+M56</f>
        <v>4.0000000000000001E-3</v>
      </c>
      <c r="N146" s="139">
        <f t="shared" si="106"/>
        <v>0</v>
      </c>
      <c r="O146" s="139">
        <f t="shared" si="106"/>
        <v>0</v>
      </c>
      <c r="P146" s="253">
        <f>P24+P88+P77+P99+P56</f>
        <v>0</v>
      </c>
      <c r="Q146" s="253">
        <f t="shared" ref="Q146:S146" si="107">Q24+Q88+Q77+Q99+Q56</f>
        <v>0</v>
      </c>
      <c r="R146" s="253">
        <f t="shared" si="107"/>
        <v>0</v>
      </c>
      <c r="S146" s="253">
        <f t="shared" si="107"/>
        <v>0</v>
      </c>
      <c r="T146" s="139">
        <f t="shared" si="106"/>
        <v>9896.9</v>
      </c>
      <c r="U146" s="151">
        <f t="shared" ref="U146" si="108">U24+U88+U77+U99+U56</f>
        <v>9896.91</v>
      </c>
      <c r="V146" s="139">
        <f t="shared" si="106"/>
        <v>9896.91</v>
      </c>
      <c r="W146" s="139">
        <f t="shared" si="106"/>
        <v>9896.91</v>
      </c>
      <c r="X146" s="139">
        <f t="shared" si="105"/>
        <v>0</v>
      </c>
      <c r="Y146" s="139">
        <f t="shared" si="105"/>
        <v>9896.91</v>
      </c>
      <c r="Z146" s="413"/>
    </row>
    <row r="147" spans="1:26">
      <c r="A147" s="314"/>
      <c r="B147" s="41" t="s">
        <v>33</v>
      </c>
      <c r="C147" s="399"/>
      <c r="D147" s="434"/>
      <c r="E147" s="401"/>
      <c r="F147" s="401"/>
      <c r="G147" s="139">
        <f t="shared" si="104"/>
        <v>39544.299999999996</v>
      </c>
      <c r="H147" s="139">
        <f t="shared" ref="H147:Y147" si="109">H26+H89+H78+H100+H57</f>
        <v>39544.299999999996</v>
      </c>
      <c r="I147" s="139">
        <f t="shared" si="109"/>
        <v>32834.229999999996</v>
      </c>
      <c r="J147" s="139">
        <f t="shared" si="109"/>
        <v>35255.921000000002</v>
      </c>
      <c r="K147" s="139">
        <f t="shared" si="109"/>
        <v>35255.921000000002</v>
      </c>
      <c r="L147" s="139">
        <f t="shared" ref="L147:W147" si="110">L26+L89+L78+L100+L57</f>
        <v>0</v>
      </c>
      <c r="M147" s="139">
        <f t="shared" si="110"/>
        <v>6341.68</v>
      </c>
      <c r="N147" s="139">
        <f t="shared" si="110"/>
        <v>3919.99</v>
      </c>
      <c r="O147" s="139">
        <f t="shared" si="110"/>
        <v>3919.9859999999999</v>
      </c>
      <c r="P147" s="253">
        <f t="shared" ref="P147:S147" si="111">P26+P89+P78+P100+P57</f>
        <v>0</v>
      </c>
      <c r="Q147" s="253">
        <f t="shared" si="111"/>
        <v>0</v>
      </c>
      <c r="R147" s="253">
        <f t="shared" si="111"/>
        <v>0</v>
      </c>
      <c r="S147" s="253">
        <f t="shared" si="111"/>
        <v>0</v>
      </c>
      <c r="T147" s="139">
        <f t="shared" si="110"/>
        <v>39544.299999999996</v>
      </c>
      <c r="U147" s="151">
        <f t="shared" ref="U147" si="112">U26+U89+U78+U100+U57</f>
        <v>39175.909999999996</v>
      </c>
      <c r="V147" s="139">
        <f t="shared" si="110"/>
        <v>39175.911</v>
      </c>
      <c r="W147" s="139">
        <f t="shared" si="110"/>
        <v>39175.906999999999</v>
      </c>
      <c r="X147" s="139">
        <f t="shared" si="109"/>
        <v>0</v>
      </c>
      <c r="Y147" s="139">
        <f t="shared" si="109"/>
        <v>35255.921000000002</v>
      </c>
      <c r="Z147" s="413"/>
    </row>
    <row r="148" spans="1:26">
      <c r="A148" s="314"/>
      <c r="B148" s="23" t="s">
        <v>37</v>
      </c>
      <c r="C148" s="399"/>
      <c r="D148" s="434"/>
      <c r="E148" s="401"/>
      <c r="F148" s="401"/>
      <c r="G148" s="140">
        <f t="shared" ref="G148" si="113">SUM(H148:Y148)</f>
        <v>0</v>
      </c>
      <c r="H148" s="139">
        <f>H29+H90+H79+H101+H58</f>
        <v>0</v>
      </c>
      <c r="I148" s="139">
        <f>I29+I90+I79+I101+I58</f>
        <v>0</v>
      </c>
      <c r="J148" s="139">
        <f>J29+J90+J79+J101+J58</f>
        <v>0</v>
      </c>
      <c r="K148" s="139">
        <f>K29+K90+K79+K101+K58</f>
        <v>0</v>
      </c>
      <c r="L148" s="139">
        <f t="shared" ref="L148:W148" si="114">L29+L90+L79+L101+L58</f>
        <v>0</v>
      </c>
      <c r="M148" s="139">
        <f t="shared" si="114"/>
        <v>0</v>
      </c>
      <c r="N148" s="139">
        <f t="shared" si="114"/>
        <v>0</v>
      </c>
      <c r="O148" s="139">
        <f t="shared" si="114"/>
        <v>0</v>
      </c>
      <c r="P148" s="253">
        <f t="shared" ref="P148:S148" si="115">P29+P90+P79+P101+P58</f>
        <v>0</v>
      </c>
      <c r="Q148" s="253">
        <f t="shared" si="115"/>
        <v>0</v>
      </c>
      <c r="R148" s="253">
        <f t="shared" si="115"/>
        <v>0</v>
      </c>
      <c r="S148" s="253">
        <f t="shared" si="115"/>
        <v>0</v>
      </c>
      <c r="T148" s="139">
        <f t="shared" si="114"/>
        <v>0</v>
      </c>
      <c r="U148" s="151">
        <f t="shared" ref="U148" si="116">U29+U90+U79+U101+U58</f>
        <v>0</v>
      </c>
      <c r="V148" s="139">
        <f t="shared" si="114"/>
        <v>0</v>
      </c>
      <c r="W148" s="139">
        <f t="shared" si="114"/>
        <v>0</v>
      </c>
      <c r="X148" s="139">
        <f>X29+X90+X79+X101+X58</f>
        <v>0</v>
      </c>
      <c r="Y148" s="140"/>
      <c r="Z148" s="413"/>
    </row>
    <row r="149" spans="1:26" ht="13.5">
      <c r="A149" s="314"/>
      <c r="B149" s="23" t="s">
        <v>38</v>
      </c>
      <c r="C149" s="399"/>
      <c r="D149" s="434"/>
      <c r="E149" s="401"/>
      <c r="F149" s="401"/>
      <c r="G149" s="140">
        <v>75000</v>
      </c>
      <c r="H149" s="166"/>
      <c r="I149" s="166"/>
      <c r="J149" s="166"/>
      <c r="K149" s="166"/>
      <c r="L149" s="196">
        <v>75000</v>
      </c>
      <c r="M149" s="166"/>
      <c r="N149" s="166"/>
      <c r="O149" s="166"/>
      <c r="P149" s="196"/>
      <c r="Q149" s="166"/>
      <c r="R149" s="166"/>
      <c r="S149" s="166"/>
      <c r="T149" s="166">
        <v>75000</v>
      </c>
      <c r="U149" s="166"/>
      <c r="V149" s="166"/>
      <c r="W149" s="166"/>
      <c r="X149" s="65">
        <v>75000</v>
      </c>
      <c r="Y149" s="140"/>
      <c r="Z149" s="413"/>
    </row>
    <row r="150" spans="1:26" ht="13.5">
      <c r="A150" s="315"/>
      <c r="B150" s="22" t="s">
        <v>118</v>
      </c>
      <c r="C150" s="400"/>
      <c r="D150" s="435"/>
      <c r="E150" s="402"/>
      <c r="F150" s="402"/>
      <c r="G150" s="140">
        <v>386100</v>
      </c>
      <c r="H150" s="133">
        <f>H30+H91+H80+H102+H60</f>
        <v>289575</v>
      </c>
      <c r="I150" s="133">
        <f>I30+I91+I80+I102+I60</f>
        <v>0</v>
      </c>
      <c r="J150" s="133">
        <f>J30+J91+J80+J102+J60</f>
        <v>0</v>
      </c>
      <c r="K150" s="133">
        <f>K30+K91+K80+K102+K60</f>
        <v>0</v>
      </c>
      <c r="L150" s="133">
        <f t="shared" ref="L150:W150" si="117">L30+L91+L80+L102+L60</f>
        <v>96525</v>
      </c>
      <c r="M150" s="133">
        <f>M30+M91+M80+M102+M60</f>
        <v>26582.837</v>
      </c>
      <c r="N150" s="242">
        <f t="shared" si="117"/>
        <v>395655.16899999999</v>
      </c>
      <c r="O150" s="133">
        <f t="shared" si="117"/>
        <v>16721.403999999999</v>
      </c>
      <c r="P150" s="248">
        <f t="shared" ref="P150" si="118">P30+P91+P80+P102+P60</f>
        <v>0</v>
      </c>
      <c r="Q150" s="248">
        <f>Q30+Q91+Q80+Q102+Q60</f>
        <v>0</v>
      </c>
      <c r="R150" s="275">
        <f t="shared" ref="R150:S150" si="119">R30+R91+R80+R102+R60</f>
        <v>0</v>
      </c>
      <c r="S150" s="248">
        <f t="shared" si="119"/>
        <v>0</v>
      </c>
      <c r="T150" s="133">
        <f t="shared" si="117"/>
        <v>386100</v>
      </c>
      <c r="U150" s="148">
        <f t="shared" ref="U150" si="120">U30+U91+U80+U102+U60</f>
        <v>26582.837</v>
      </c>
      <c r="V150" s="133">
        <f t="shared" si="117"/>
        <v>395655.16899999999</v>
      </c>
      <c r="W150" s="133">
        <f t="shared" si="117"/>
        <v>16721.403999999999</v>
      </c>
      <c r="X150" s="133">
        <f>X30+X91+X80+X102+X60</f>
        <v>96525</v>
      </c>
      <c r="Y150" s="140"/>
      <c r="Z150" s="414"/>
    </row>
    <row r="151" spans="1:26">
      <c r="B151" s="176"/>
      <c r="C151" s="177"/>
      <c r="D151" s="177"/>
      <c r="E151" s="177"/>
      <c r="F151" s="177"/>
      <c r="G151" s="178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8"/>
      <c r="Y151" s="180"/>
    </row>
    <row r="152" spans="1:26" hidden="1">
      <c r="A152" s="181" t="s">
        <v>22</v>
      </c>
      <c r="B152" s="32" t="s">
        <v>54</v>
      </c>
      <c r="C152" s="177"/>
      <c r="D152" s="177"/>
      <c r="E152" s="177"/>
      <c r="F152" s="177"/>
      <c r="X152" s="58">
        <f>G140</f>
        <v>1228525.5</v>
      </c>
      <c r="Y152" s="59" t="s">
        <v>12</v>
      </c>
    </row>
    <row r="153" spans="1:26" hidden="1">
      <c r="A153" s="181"/>
      <c r="B153" s="7" t="s">
        <v>128</v>
      </c>
      <c r="C153" s="177"/>
      <c r="D153" s="177"/>
      <c r="E153" s="177"/>
      <c r="F153" s="177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8"/>
      <c r="Y153" s="180"/>
    </row>
    <row r="154" spans="1:26" hidden="1">
      <c r="A154" s="181"/>
      <c r="B154" s="7"/>
      <c r="C154" s="177"/>
      <c r="D154" s="177"/>
      <c r="E154" s="177"/>
      <c r="F154" s="177"/>
      <c r="G154" s="179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178"/>
      <c r="Y154" s="180"/>
    </row>
    <row r="155" spans="1:26" ht="12.75" hidden="1" customHeight="1">
      <c r="A155" s="294" t="s">
        <v>16</v>
      </c>
      <c r="B155" s="294" t="s">
        <v>11</v>
      </c>
      <c r="C155" s="294" t="s">
        <v>34</v>
      </c>
      <c r="D155" s="294" t="s">
        <v>35</v>
      </c>
      <c r="E155" s="294" t="s">
        <v>36</v>
      </c>
      <c r="F155" s="294" t="s">
        <v>44</v>
      </c>
      <c r="G155" s="436" t="s">
        <v>40</v>
      </c>
      <c r="H155" s="415" t="s">
        <v>19</v>
      </c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  <c r="T155" s="416"/>
      <c r="U155" s="416"/>
      <c r="V155" s="416"/>
      <c r="W155" s="416"/>
      <c r="X155" s="416"/>
      <c r="Y155" s="416"/>
      <c r="Z155" s="294" t="s">
        <v>24</v>
      </c>
    </row>
    <row r="156" spans="1:26" hidden="1">
      <c r="A156" s="295"/>
      <c r="B156" s="295"/>
      <c r="C156" s="295"/>
      <c r="D156" s="295"/>
      <c r="E156" s="394"/>
      <c r="F156" s="394"/>
      <c r="G156" s="437"/>
      <c r="H156" s="10">
        <v>2011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>
        <v>2012</v>
      </c>
      <c r="Y156" s="10">
        <v>2013</v>
      </c>
      <c r="Z156" s="295"/>
    </row>
    <row r="157" spans="1:26" hidden="1">
      <c r="A157" s="11">
        <v>1</v>
      </c>
      <c r="B157" s="18">
        <v>2</v>
      </c>
      <c r="C157" s="18">
        <v>3</v>
      </c>
      <c r="D157" s="18">
        <v>4</v>
      </c>
      <c r="E157" s="43"/>
      <c r="F157" s="43"/>
      <c r="G157" s="30">
        <v>5</v>
      </c>
      <c r="H157" s="30">
        <v>6</v>
      </c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>
        <v>7</v>
      </c>
      <c r="Y157" s="30">
        <v>8</v>
      </c>
      <c r="Z157" s="12">
        <v>13</v>
      </c>
    </row>
    <row r="158" spans="1:26" ht="14.25">
      <c r="A158" s="11">
        <v>2.2000000000000002</v>
      </c>
      <c r="B158" s="80" t="s">
        <v>72</v>
      </c>
      <c r="C158" s="18"/>
      <c r="D158" s="18"/>
      <c r="E158" s="43"/>
      <c r="F158" s="43"/>
      <c r="G158" s="30"/>
      <c r="H158" s="45"/>
      <c r="I158" s="46"/>
      <c r="J158" s="46"/>
      <c r="K158" s="83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39"/>
    </row>
    <row r="159" spans="1:26" ht="26.25" customHeight="1">
      <c r="A159" s="320" t="s">
        <v>73</v>
      </c>
      <c r="B159" s="69" t="s">
        <v>25</v>
      </c>
      <c r="C159" s="438" t="s">
        <v>43</v>
      </c>
      <c r="D159" s="304" t="s">
        <v>50</v>
      </c>
      <c r="E159" s="328">
        <v>150</v>
      </c>
      <c r="F159" s="328" t="s">
        <v>17</v>
      </c>
      <c r="G159" s="25">
        <f t="shared" ref="G159:O159" si="121">G160+G173+G175+G188+G192</f>
        <v>2223644.9</v>
      </c>
      <c r="H159" s="25">
        <f t="shared" si="121"/>
        <v>1520244.9</v>
      </c>
      <c r="I159" s="25">
        <f t="shared" si="121"/>
        <v>470262.96899999987</v>
      </c>
      <c r="J159" s="25">
        <f t="shared" si="121"/>
        <v>445096.85399999999</v>
      </c>
      <c r="K159" s="25">
        <f t="shared" si="121"/>
        <v>445096.85399999999</v>
      </c>
      <c r="L159" s="25">
        <f t="shared" si="121"/>
        <v>20000</v>
      </c>
      <c r="M159" s="25">
        <f t="shared" si="121"/>
        <v>192464.57299999997</v>
      </c>
      <c r="N159" s="25">
        <f t="shared" si="121"/>
        <v>149762.43499999997</v>
      </c>
      <c r="O159" s="25">
        <f t="shared" si="121"/>
        <v>149762.43599999999</v>
      </c>
      <c r="P159" s="25">
        <f t="shared" ref="P159:S159" si="122">P160+P173+P175+P188+P192</f>
        <v>0</v>
      </c>
      <c r="Q159" s="25">
        <f t="shared" si="122"/>
        <v>58914.179000000004</v>
      </c>
      <c r="R159" s="25">
        <f t="shared" si="122"/>
        <v>45432.832000000002</v>
      </c>
      <c r="S159" s="25">
        <f t="shared" si="122"/>
        <v>45432.832000000002</v>
      </c>
      <c r="T159" s="25">
        <f>H159+L159</f>
        <v>1540244.9</v>
      </c>
      <c r="U159" s="25">
        <f>I159+M159+Q159</f>
        <v>721641.7209999999</v>
      </c>
      <c r="V159" s="25">
        <f t="shared" ref="V159:W160" si="123">J159+N159+R159</f>
        <v>640292.12100000004</v>
      </c>
      <c r="W159" s="25">
        <f t="shared" si="123"/>
        <v>640292.12200000009</v>
      </c>
      <c r="X159" s="25">
        <f>X160+X173+X175+X188+X192</f>
        <v>78540.487000000023</v>
      </c>
      <c r="Y159" s="25">
        <f>Y160+Y173+Y175+Y188+Y192</f>
        <v>445096.85399999999</v>
      </c>
      <c r="Z159" s="410" t="s">
        <v>108</v>
      </c>
    </row>
    <row r="160" spans="1:26" ht="15" customHeight="1">
      <c r="A160" s="314"/>
      <c r="B160" s="22" t="s">
        <v>127</v>
      </c>
      <c r="C160" s="317"/>
      <c r="D160" s="307"/>
      <c r="E160" s="393"/>
      <c r="F160" s="393"/>
      <c r="G160" s="323">
        <v>24271.200000000001</v>
      </c>
      <c r="H160" s="323">
        <v>4271.2</v>
      </c>
      <c r="I160" s="323">
        <f>SUM(I162:I170)</f>
        <v>5607.746000000001</v>
      </c>
      <c r="J160" s="323">
        <f>SUM(J162:J170)</f>
        <v>5587.2460000000001</v>
      </c>
      <c r="K160" s="323">
        <f>SUM(K162:K170)</f>
        <v>5587.2460000000001</v>
      </c>
      <c r="L160" s="323">
        <v>20000</v>
      </c>
      <c r="M160" s="387">
        <f>SUM(M162:M171)</f>
        <v>7574.0719999999992</v>
      </c>
      <c r="N160" s="387">
        <f>SUM(N162:N171)</f>
        <v>3089.2919999999995</v>
      </c>
      <c r="O160" s="387">
        <f>SUM(O162:O171)</f>
        <v>3089.2929999999997</v>
      </c>
      <c r="P160" s="323">
        <v>0</v>
      </c>
      <c r="Q160" s="387">
        <f>SUM(Q162:Q172)</f>
        <v>14887.915000000001</v>
      </c>
      <c r="R160" s="387">
        <f>SUM(R162:R172)</f>
        <v>5809.1880000000001</v>
      </c>
      <c r="S160" s="387">
        <f>SUM(S162:S172)</f>
        <v>5809.1880000000001</v>
      </c>
      <c r="T160" s="323">
        <f t="shared" ref="T160:U161" si="124">H160+L160</f>
        <v>24271.200000000001</v>
      </c>
      <c r="U160" s="323">
        <f>I160+M160+Q160</f>
        <v>28069.733</v>
      </c>
      <c r="V160" s="323">
        <f t="shared" si="123"/>
        <v>14485.726000000001</v>
      </c>
      <c r="W160" s="323">
        <f t="shared" si="123"/>
        <v>14485.727000000001</v>
      </c>
      <c r="X160" s="323">
        <f>SUM(X162:X170)</f>
        <v>822.77800000000002</v>
      </c>
      <c r="Y160" s="323">
        <f>SUM(Y162:Y170)</f>
        <v>5587.2460000000001</v>
      </c>
      <c r="Z160" s="411"/>
    </row>
    <row r="161" spans="1:26">
      <c r="A161" s="314"/>
      <c r="B161" s="40" t="s">
        <v>27</v>
      </c>
      <c r="C161" s="317"/>
      <c r="D161" s="307"/>
      <c r="E161" s="393"/>
      <c r="F161" s="393"/>
      <c r="G161" s="394"/>
      <c r="H161" s="324"/>
      <c r="I161" s="324"/>
      <c r="J161" s="324"/>
      <c r="K161" s="324"/>
      <c r="L161" s="324"/>
      <c r="M161" s="388"/>
      <c r="N161" s="388"/>
      <c r="O161" s="388"/>
      <c r="P161" s="324"/>
      <c r="Q161" s="388"/>
      <c r="R161" s="388"/>
      <c r="S161" s="388"/>
      <c r="T161" s="324">
        <f t="shared" si="124"/>
        <v>0</v>
      </c>
      <c r="U161" s="324">
        <f t="shared" si="124"/>
        <v>0</v>
      </c>
      <c r="V161" s="324">
        <f t="shared" ref="V161" si="125">J161+N161</f>
        <v>0</v>
      </c>
      <c r="W161" s="324">
        <f t="shared" ref="W161" si="126">K161+O161</f>
        <v>0</v>
      </c>
      <c r="X161" s="324"/>
      <c r="Y161" s="324"/>
      <c r="Z161" s="411"/>
    </row>
    <row r="162" spans="1:26" ht="12.75" hidden="1" customHeight="1">
      <c r="A162" s="314"/>
      <c r="B162" s="75" t="s">
        <v>155</v>
      </c>
      <c r="C162" s="317"/>
      <c r="D162" s="307"/>
      <c r="E162" s="393"/>
      <c r="F162" s="393"/>
      <c r="G162" s="105"/>
      <c r="H162" s="136"/>
      <c r="I162" s="106">
        <f>297.33+117.605+84.383+151.68+171.78+175.947+175.947+203.598+259.684+320.645-175.947+435.675+658.978+211.623+711.938</f>
        <v>3800.8660000000004</v>
      </c>
      <c r="J162" s="127">
        <f>414.935+84.383+151.68+171.78+959.874+2018.214</f>
        <v>3800.866</v>
      </c>
      <c r="K162" s="91">
        <f>414.935+84.383+151.68+171.78+203.598+435.631+320.645+2018.214</f>
        <v>3800.866</v>
      </c>
      <c r="L162" s="91"/>
      <c r="M162" s="91">
        <f>102.738+15.108+157.275+146.52+219.7+166.175+179.697+49.05+16.633+46.291+23.409+42.85+39.368+85.866+305.57</f>
        <v>1596.2499999999998</v>
      </c>
      <c r="N162" s="91">
        <f>275.122+146.52+166.175+179.697+219.7+16.633+49.05+23.409+46.292+42.85+39.368+305.57+85.866</f>
        <v>1596.2519999999997</v>
      </c>
      <c r="O162" s="91">
        <f>275.122+146.52+166.175+179.697+219.7+16.633+49.051+23.409+46.292+42.85+39.368+305.57+85.866</f>
        <v>1596.2529999999997</v>
      </c>
      <c r="P162" s="91"/>
      <c r="Q162" s="119">
        <f>56.445+36.985+68.167+41.674+84.326+42.265+105.001</f>
        <v>434.86299999999994</v>
      </c>
      <c r="R162" s="101">
        <f>56.445+36.985+68.168+41.673+84.326+42.265+105.001</f>
        <v>434.86299999999994</v>
      </c>
      <c r="S162" s="101">
        <f>56.445+36.985+68.168+41.673+84.326+42.265+105.001</f>
        <v>434.86299999999994</v>
      </c>
      <c r="T162" s="91"/>
      <c r="U162" s="118">
        <f>I162+M162+Q162</f>
        <v>5831.9790000000003</v>
      </c>
      <c r="V162" s="91"/>
      <c r="W162" s="91"/>
      <c r="X162" s="101">
        <f>414.935+84.383+151.68+171.78</f>
        <v>822.77800000000002</v>
      </c>
      <c r="Y162" s="101">
        <f>414.935+84.383+151.68+171.78+203.598+435.631+320.645+2018.214</f>
        <v>3800.866</v>
      </c>
      <c r="Z162" s="411"/>
    </row>
    <row r="163" spans="1:26" ht="12.75" hidden="1" customHeight="1">
      <c r="A163" s="314"/>
      <c r="B163" s="87" t="s">
        <v>163</v>
      </c>
      <c r="C163" s="317"/>
      <c r="D163" s="307"/>
      <c r="E163" s="393"/>
      <c r="F163" s="393"/>
      <c r="G163" s="105"/>
      <c r="H163" s="136"/>
      <c r="I163" s="106">
        <v>30</v>
      </c>
      <c r="J163" s="107">
        <v>30</v>
      </c>
      <c r="K163" s="91">
        <v>30</v>
      </c>
      <c r="L163" s="155"/>
      <c r="M163" s="155"/>
      <c r="N163" s="155"/>
      <c r="O163" s="91"/>
      <c r="P163" s="155"/>
      <c r="Q163" s="119"/>
      <c r="R163" s="155"/>
      <c r="S163" s="91"/>
      <c r="T163" s="155"/>
      <c r="U163" s="118">
        <f t="shared" ref="U163:U171" si="127">I163+M163+Q163</f>
        <v>30</v>
      </c>
      <c r="V163" s="155"/>
      <c r="W163" s="155"/>
      <c r="X163" s="108"/>
      <c r="Y163" s="91">
        <v>30</v>
      </c>
      <c r="Z163" s="411"/>
    </row>
    <row r="164" spans="1:26" ht="12.75" hidden="1" customHeight="1">
      <c r="A164" s="314"/>
      <c r="B164" s="75" t="s">
        <v>226</v>
      </c>
      <c r="C164" s="317"/>
      <c r="D164" s="307"/>
      <c r="E164" s="393"/>
      <c r="F164" s="393"/>
      <c r="G164" s="229"/>
      <c r="H164" s="228"/>
      <c r="I164" s="106"/>
      <c r="J164" s="107"/>
      <c r="K164" s="91"/>
      <c r="L164" s="155"/>
      <c r="M164" s="155">
        <f>12.184+29.867</f>
        <v>42.051000000000002</v>
      </c>
      <c r="N164" s="155">
        <f>12.184+29.867</f>
        <v>42.051000000000002</v>
      </c>
      <c r="O164" s="155">
        <f>12.184+29.867</f>
        <v>42.051000000000002</v>
      </c>
      <c r="P164" s="155"/>
      <c r="Q164" s="266">
        <f>48.36+19.37+19.956+54.136+16.905+27.335+54.61+29.399</f>
        <v>270.07100000000003</v>
      </c>
      <c r="R164" s="101">
        <f>48.36+19.369+19.956+54.136+16.905+27.335+54.611+29.399</f>
        <v>270.07100000000003</v>
      </c>
      <c r="S164" s="101">
        <f>48.36+19.369+19.956+54.136+16.905+27.335+54.611+29.399</f>
        <v>270.07100000000003</v>
      </c>
      <c r="T164" s="155"/>
      <c r="U164" s="118">
        <f t="shared" si="127"/>
        <v>312.12200000000001</v>
      </c>
      <c r="V164" s="155"/>
      <c r="W164" s="155"/>
      <c r="X164" s="108"/>
      <c r="Y164" s="91"/>
      <c r="Z164" s="411"/>
    </row>
    <row r="165" spans="1:26" ht="12.75" hidden="1" customHeight="1">
      <c r="A165" s="314"/>
      <c r="B165" s="75" t="s">
        <v>159</v>
      </c>
      <c r="C165" s="317"/>
      <c r="D165" s="307"/>
      <c r="E165" s="393"/>
      <c r="F165" s="393"/>
      <c r="G165" s="105"/>
      <c r="H165" s="136"/>
      <c r="I165" s="106">
        <f>330+200+540+160.38+330</f>
        <v>1560.38</v>
      </c>
      <c r="J165" s="107">
        <v>1560.38</v>
      </c>
      <c r="K165" s="91">
        <v>1560.38</v>
      </c>
      <c r="L165" s="155"/>
      <c r="M165" s="155">
        <f>694.906+50+50+50+50</f>
        <v>894.90599999999995</v>
      </c>
      <c r="N165" s="235">
        <f>48.159+500+50+50+50</f>
        <v>698.15899999999999</v>
      </c>
      <c r="O165" s="211">
        <f>48.159+500+50+50+50</f>
        <v>698.15899999999999</v>
      </c>
      <c r="P165" s="155"/>
      <c r="Q165" s="119">
        <f>50+50</f>
        <v>100</v>
      </c>
      <c r="R165" s="211">
        <f>50+50+50</f>
        <v>150</v>
      </c>
      <c r="S165" s="211">
        <f>50+50+50</f>
        <v>150</v>
      </c>
      <c r="T165" s="155"/>
      <c r="U165" s="118">
        <f t="shared" si="127"/>
        <v>2555.2860000000001</v>
      </c>
      <c r="V165" s="155"/>
      <c r="W165" s="155"/>
      <c r="X165" s="108"/>
      <c r="Y165" s="91">
        <v>1560.38</v>
      </c>
      <c r="Z165" s="411"/>
    </row>
    <row r="166" spans="1:26" ht="12.75" hidden="1" customHeight="1">
      <c r="A166" s="314"/>
      <c r="B166" s="75" t="s">
        <v>164</v>
      </c>
      <c r="C166" s="317"/>
      <c r="D166" s="307"/>
      <c r="E166" s="393"/>
      <c r="F166" s="393"/>
      <c r="G166" s="105"/>
      <c r="H166" s="136"/>
      <c r="I166" s="106">
        <f>45+171.5</f>
        <v>216.5</v>
      </c>
      <c r="J166" s="107">
        <v>196</v>
      </c>
      <c r="K166" s="91">
        <v>196</v>
      </c>
      <c r="L166" s="155"/>
      <c r="M166" s="155">
        <f>24.5+196+24.5+24.5+147+24.5+24.5</f>
        <v>465.5</v>
      </c>
      <c r="N166" s="155">
        <f>196+24.5+24.5+171.5+24.5+24.5</f>
        <v>465.5</v>
      </c>
      <c r="O166" s="211">
        <f>196+24.5+24.5+171.5+24.5+24.5</f>
        <v>465.5</v>
      </c>
      <c r="P166" s="155"/>
      <c r="Q166" s="266">
        <f>24.5+24.5+24.5</f>
        <v>73.5</v>
      </c>
      <c r="R166" s="155">
        <f>24.5+24.5</f>
        <v>49</v>
      </c>
      <c r="S166" s="85">
        <f>24.5+24.5</f>
        <v>49</v>
      </c>
      <c r="T166" s="155"/>
      <c r="U166" s="118">
        <f t="shared" si="127"/>
        <v>755.5</v>
      </c>
      <c r="V166" s="155"/>
      <c r="W166" s="155"/>
      <c r="X166" s="108"/>
      <c r="Y166" s="91">
        <v>196</v>
      </c>
      <c r="Z166" s="411"/>
    </row>
    <row r="167" spans="1:26" ht="12.75" hidden="1" customHeight="1">
      <c r="A167" s="314"/>
      <c r="B167" s="75" t="s">
        <v>247</v>
      </c>
      <c r="C167" s="317"/>
      <c r="D167" s="307"/>
      <c r="E167" s="393"/>
      <c r="F167" s="393"/>
      <c r="G167" s="285"/>
      <c r="H167" s="284"/>
      <c r="I167" s="106"/>
      <c r="J167" s="107"/>
      <c r="K167" s="211"/>
      <c r="L167" s="155"/>
      <c r="M167" s="155"/>
      <c r="N167" s="155"/>
      <c r="O167" s="211"/>
      <c r="P167" s="155"/>
      <c r="Q167" s="266">
        <v>2028.412</v>
      </c>
      <c r="R167" s="155"/>
      <c r="S167" s="85"/>
      <c r="T167" s="155"/>
      <c r="U167" s="118"/>
      <c r="V167" s="155"/>
      <c r="W167" s="155"/>
      <c r="X167" s="108"/>
      <c r="Y167" s="211"/>
      <c r="Z167" s="411"/>
    </row>
    <row r="168" spans="1:26" ht="12.75" hidden="1" customHeight="1">
      <c r="A168" s="314"/>
      <c r="B168" s="115" t="s">
        <v>217</v>
      </c>
      <c r="C168" s="317"/>
      <c r="D168" s="307"/>
      <c r="E168" s="393"/>
      <c r="F168" s="393"/>
      <c r="G168" s="229"/>
      <c r="H168" s="228"/>
      <c r="I168" s="106"/>
      <c r="J168" s="107"/>
      <c r="K168" s="211"/>
      <c r="L168" s="155"/>
      <c r="M168" s="155">
        <v>4.13</v>
      </c>
      <c r="N168" s="155">
        <v>4.13</v>
      </c>
      <c r="O168" s="211">
        <v>4.13</v>
      </c>
      <c r="P168" s="155"/>
      <c r="Q168" s="119">
        <v>353.66699999999997</v>
      </c>
      <c r="R168" s="155">
        <f>106.1+247.567</f>
        <v>353.66700000000003</v>
      </c>
      <c r="S168" s="211">
        <f>106.1+247.567</f>
        <v>353.66700000000003</v>
      </c>
      <c r="T168" s="155"/>
      <c r="U168" s="118">
        <f t="shared" si="127"/>
        <v>357.79699999999997</v>
      </c>
      <c r="V168" s="155"/>
      <c r="W168" s="155"/>
      <c r="X168" s="108"/>
      <c r="Y168" s="211"/>
      <c r="Z168" s="411"/>
    </row>
    <row r="169" spans="1:26" ht="12.75" hidden="1" customHeight="1">
      <c r="A169" s="314"/>
      <c r="B169" s="75" t="s">
        <v>236</v>
      </c>
      <c r="C169" s="317"/>
      <c r="D169" s="307"/>
      <c r="E169" s="393"/>
      <c r="F169" s="393"/>
      <c r="G169" s="260"/>
      <c r="H169" s="259"/>
      <c r="I169" s="106"/>
      <c r="J169" s="107"/>
      <c r="K169" s="211"/>
      <c r="L169" s="155"/>
      <c r="M169" s="155"/>
      <c r="N169" s="155"/>
      <c r="O169" s="211"/>
      <c r="P169" s="155"/>
      <c r="Q169" s="119">
        <f>29.45+99.675</f>
        <v>129.125</v>
      </c>
      <c r="R169" s="85">
        <v>29.45</v>
      </c>
      <c r="S169" s="85">
        <v>29.45</v>
      </c>
      <c r="T169" s="155"/>
      <c r="U169" s="118"/>
      <c r="V169" s="155"/>
      <c r="W169" s="155"/>
      <c r="X169" s="108"/>
      <c r="Y169" s="211"/>
      <c r="Z169" s="411"/>
    </row>
    <row r="170" spans="1:26" ht="12.75" hidden="1" customHeight="1">
      <c r="A170" s="314"/>
      <c r="B170" s="115" t="s">
        <v>209</v>
      </c>
      <c r="C170" s="317"/>
      <c r="D170" s="307"/>
      <c r="E170" s="393"/>
      <c r="F170" s="393"/>
      <c r="G170" s="105"/>
      <c r="H170" s="136"/>
      <c r="I170" s="136"/>
      <c r="J170" s="136"/>
      <c r="K170" s="136"/>
      <c r="L170" s="136"/>
      <c r="M170" s="136"/>
      <c r="N170" s="117">
        <v>283.2</v>
      </c>
      <c r="O170" s="117">
        <v>283.2</v>
      </c>
      <c r="P170" s="247"/>
      <c r="Q170" s="119">
        <f>619.498+265.499+354+944+354</f>
        <v>2536.9970000000003</v>
      </c>
      <c r="R170" s="84">
        <f>619.498+265.499+814.2+1400+354+640.74+354</f>
        <v>4447.9369999999999</v>
      </c>
      <c r="S170" s="84">
        <f>619.498+265.499+814.2+1400+354+640.74+354</f>
        <v>4447.9369999999999</v>
      </c>
      <c r="T170" s="136"/>
      <c r="U170" s="118">
        <f t="shared" si="127"/>
        <v>2536.9970000000003</v>
      </c>
      <c r="V170" s="144"/>
      <c r="W170" s="144"/>
      <c r="X170" s="136"/>
      <c r="Y170" s="136"/>
      <c r="Z170" s="411"/>
    </row>
    <row r="171" spans="1:26" ht="12.75" hidden="1" customHeight="1">
      <c r="A171" s="314"/>
      <c r="B171" s="115" t="s">
        <v>212</v>
      </c>
      <c r="C171" s="317"/>
      <c r="D171" s="307"/>
      <c r="E171" s="393"/>
      <c r="F171" s="393"/>
      <c r="G171" s="199"/>
      <c r="H171" s="197"/>
      <c r="I171" s="197"/>
      <c r="J171" s="197"/>
      <c r="K171" s="197"/>
      <c r="L171" s="197"/>
      <c r="M171" s="117">
        <f>2451.22+2120.015</f>
        <v>4571.2349999999997</v>
      </c>
      <c r="N171" s="197"/>
      <c r="O171" s="117"/>
      <c r="P171" s="247"/>
      <c r="Q171" s="119">
        <f>448.608+1558.454+2831.62+4958.495+2221.739-4958.495+1826.659</f>
        <v>8887.08</v>
      </c>
      <c r="R171" s="247"/>
      <c r="S171" s="117"/>
      <c r="T171" s="197"/>
      <c r="U171" s="118">
        <f t="shared" si="127"/>
        <v>13458.314999999999</v>
      </c>
      <c r="V171" s="197"/>
      <c r="W171" s="197"/>
      <c r="X171" s="197"/>
      <c r="Y171" s="197"/>
      <c r="Z171" s="411"/>
    </row>
    <row r="172" spans="1:26" ht="12.75" hidden="1" customHeight="1">
      <c r="A172" s="314"/>
      <c r="B172" s="115" t="s">
        <v>237</v>
      </c>
      <c r="C172" s="317"/>
      <c r="D172" s="307"/>
      <c r="E172" s="393"/>
      <c r="F172" s="393"/>
      <c r="G172" s="269"/>
      <c r="H172" s="268"/>
      <c r="I172" s="268"/>
      <c r="J172" s="268"/>
      <c r="K172" s="268"/>
      <c r="L172" s="268"/>
      <c r="M172" s="117"/>
      <c r="N172" s="268"/>
      <c r="O172" s="117"/>
      <c r="P172" s="268"/>
      <c r="Q172" s="119">
        <v>74.2</v>
      </c>
      <c r="R172" s="117">
        <f>37.1+37.1</f>
        <v>74.2</v>
      </c>
      <c r="S172" s="117">
        <f>37.1+37.1</f>
        <v>74.2</v>
      </c>
      <c r="T172" s="268"/>
      <c r="U172" s="118"/>
      <c r="V172" s="268"/>
      <c r="W172" s="268"/>
      <c r="X172" s="268"/>
      <c r="Y172" s="268"/>
      <c r="Z172" s="411"/>
    </row>
    <row r="173" spans="1:26">
      <c r="A173" s="314"/>
      <c r="B173" s="23" t="s">
        <v>29</v>
      </c>
      <c r="C173" s="317"/>
      <c r="D173" s="307"/>
      <c r="E173" s="393"/>
      <c r="F173" s="393"/>
      <c r="G173" s="140">
        <f>SUM(G174)</f>
        <v>0</v>
      </c>
      <c r="H173" s="200">
        <f t="shared" ref="H173:S173" si="128">SUM(H174)</f>
        <v>0</v>
      </c>
      <c r="I173" s="200">
        <f t="shared" si="128"/>
        <v>0</v>
      </c>
      <c r="J173" s="200">
        <f t="shared" si="128"/>
        <v>0</v>
      </c>
      <c r="K173" s="200">
        <f t="shared" si="128"/>
        <v>0</v>
      </c>
      <c r="L173" s="200">
        <f t="shared" si="128"/>
        <v>0</v>
      </c>
      <c r="M173" s="200">
        <f t="shared" si="128"/>
        <v>0</v>
      </c>
      <c r="N173" s="200">
        <f t="shared" si="128"/>
        <v>0</v>
      </c>
      <c r="O173" s="200">
        <f t="shared" si="128"/>
        <v>0</v>
      </c>
      <c r="P173" s="254">
        <f t="shared" si="128"/>
        <v>0</v>
      </c>
      <c r="Q173" s="254">
        <f t="shared" si="128"/>
        <v>0</v>
      </c>
      <c r="R173" s="254">
        <f t="shared" si="128"/>
        <v>0</v>
      </c>
      <c r="S173" s="254">
        <f t="shared" si="128"/>
        <v>0</v>
      </c>
      <c r="T173" s="136">
        <f>H173+L173</f>
        <v>0</v>
      </c>
      <c r="U173" s="144">
        <f>I173+M173+Q173</f>
        <v>0</v>
      </c>
      <c r="V173" s="144">
        <f>J173+N173</f>
        <v>0</v>
      </c>
      <c r="W173" s="144">
        <f>K173+O173</f>
        <v>0</v>
      </c>
      <c r="X173" s="136"/>
      <c r="Y173" s="136"/>
      <c r="Z173" s="411"/>
    </row>
    <row r="174" spans="1:26">
      <c r="A174" s="314"/>
      <c r="B174" s="44" t="s">
        <v>53</v>
      </c>
      <c r="C174" s="317"/>
      <c r="D174" s="307"/>
      <c r="E174" s="393"/>
      <c r="F174" s="393"/>
      <c r="G174" s="139">
        <f>SUM(H174:Y174)</f>
        <v>0</v>
      </c>
      <c r="H174" s="136"/>
      <c r="I174" s="136"/>
      <c r="J174" s="136"/>
      <c r="K174" s="136"/>
      <c r="L174" s="136"/>
      <c r="M174" s="136"/>
      <c r="N174" s="136"/>
      <c r="O174" s="136"/>
      <c r="P174" s="247"/>
      <c r="Q174" s="247"/>
      <c r="R174" s="247"/>
      <c r="S174" s="247"/>
      <c r="T174" s="144">
        <f t="shared" ref="T174:W192" si="129">H174+L174</f>
        <v>0</v>
      </c>
      <c r="U174" s="255">
        <f>I174+M174+Q174</f>
        <v>0</v>
      </c>
      <c r="V174" s="144">
        <f t="shared" si="129"/>
        <v>0</v>
      </c>
      <c r="W174" s="144">
        <f t="shared" si="129"/>
        <v>0</v>
      </c>
      <c r="X174" s="136"/>
      <c r="Y174" s="136"/>
      <c r="Z174" s="411"/>
    </row>
    <row r="175" spans="1:26">
      <c r="A175" s="314"/>
      <c r="B175" s="23" t="s">
        <v>30</v>
      </c>
      <c r="C175" s="317"/>
      <c r="D175" s="307"/>
      <c r="E175" s="393"/>
      <c r="F175" s="393"/>
      <c r="G175" s="140">
        <f>SUM(G176:G184)</f>
        <v>832573.7</v>
      </c>
      <c r="H175" s="140">
        <f>SUM(H176:H184)</f>
        <v>832573.7</v>
      </c>
      <c r="I175" s="140">
        <f>I176+I180+I184</f>
        <v>391444.0149999999</v>
      </c>
      <c r="J175" s="140">
        <f>J176+J180+J184</f>
        <v>439509.60800000001</v>
      </c>
      <c r="K175" s="128">
        <f>K176+K180+K184</f>
        <v>439509.60800000001</v>
      </c>
      <c r="L175" s="128">
        <f>L176+L180+L184</f>
        <v>0</v>
      </c>
      <c r="M175" s="150">
        <f>M176+M180+M184</f>
        <v>184890.50099999999</v>
      </c>
      <c r="N175" s="214">
        <f t="shared" ref="N175:O175" si="130">N176+N180+N184</f>
        <v>146673.14299999998</v>
      </c>
      <c r="O175" s="214">
        <f t="shared" si="130"/>
        <v>146673.14299999998</v>
      </c>
      <c r="P175" s="128">
        <f>P176+P180+P184</f>
        <v>0</v>
      </c>
      <c r="Q175" s="254">
        <f>Q176+Q180+Q184</f>
        <v>44026.264000000003</v>
      </c>
      <c r="R175" s="254">
        <f t="shared" ref="R175:S175" si="131">R176+R180+R184</f>
        <v>39623.644</v>
      </c>
      <c r="S175" s="277">
        <f t="shared" si="131"/>
        <v>39623.644</v>
      </c>
      <c r="T175" s="144">
        <f t="shared" si="129"/>
        <v>832573.7</v>
      </c>
      <c r="U175" s="144">
        <f>I175+M175+Q175</f>
        <v>620360.7799999998</v>
      </c>
      <c r="V175" s="280">
        <f t="shared" ref="V175:W176" si="132">J175+N175+R175</f>
        <v>625806.3949999999</v>
      </c>
      <c r="W175" s="280">
        <f t="shared" si="132"/>
        <v>625806.3949999999</v>
      </c>
      <c r="X175" s="140">
        <f>X176+X180+X184</f>
        <v>77717.709000000017</v>
      </c>
      <c r="Y175" s="140">
        <f>Y176+Y180+Y184</f>
        <v>439509.60800000001</v>
      </c>
      <c r="Z175" s="411"/>
    </row>
    <row r="176" spans="1:26">
      <c r="A176" s="314"/>
      <c r="B176" s="44" t="s">
        <v>31</v>
      </c>
      <c r="C176" s="391"/>
      <c r="D176" s="393"/>
      <c r="E176" s="393"/>
      <c r="F176" s="393"/>
      <c r="G176" s="139">
        <f>SUM(H176)</f>
        <v>670084.19999999995</v>
      </c>
      <c r="H176" s="139">
        <f>439426.4+230657.8</f>
        <v>670084.19999999995</v>
      </c>
      <c r="I176" s="139">
        <f>SUM(I177:I178)</f>
        <v>288879.9709999999</v>
      </c>
      <c r="J176" s="139">
        <f>SUM(J177:J179)</f>
        <v>327492.69</v>
      </c>
      <c r="K176" s="139">
        <f>SUM(K177:K179)</f>
        <v>327492.69</v>
      </c>
      <c r="L176" s="139">
        <f>SUM(L177:L179)</f>
        <v>0</v>
      </c>
      <c r="M176" s="151">
        <f>SUM(M177:M179)</f>
        <v>159979.34299999999</v>
      </c>
      <c r="N176" s="198">
        <f t="shared" ref="N176:O176" si="133">SUM(N177:N178)</f>
        <v>128604.74</v>
      </c>
      <c r="O176" s="198">
        <f t="shared" si="133"/>
        <v>128604.74</v>
      </c>
      <c r="P176" s="253">
        <f>SUM(P177:P179)</f>
        <v>0</v>
      </c>
      <c r="Q176" s="253">
        <f>SUM(Q177:Q179)</f>
        <v>37598.952000000005</v>
      </c>
      <c r="R176" s="253">
        <f t="shared" ref="R176:S176" si="134">SUM(R177:R178)</f>
        <v>33839.057000000001</v>
      </c>
      <c r="S176" s="253">
        <f t="shared" si="134"/>
        <v>33839.057000000001</v>
      </c>
      <c r="T176" s="149">
        <f t="shared" si="129"/>
        <v>670084.19999999995</v>
      </c>
      <c r="U176" s="149">
        <f>I176+M176+Q176</f>
        <v>486458.26599999989</v>
      </c>
      <c r="V176" s="282">
        <f t="shared" si="132"/>
        <v>489936.48699999996</v>
      </c>
      <c r="W176" s="282">
        <f t="shared" si="132"/>
        <v>489936.48699999996</v>
      </c>
      <c r="X176" s="139">
        <f>SUM(X177:X178)</f>
        <v>74142.412000000011</v>
      </c>
      <c r="Y176" s="139">
        <f>SUM(Y177:Y179)</f>
        <v>327492.69</v>
      </c>
      <c r="Z176" s="411"/>
    </row>
    <row r="177" spans="1:27" ht="13.5" hidden="1">
      <c r="A177" s="314"/>
      <c r="B177" s="75" t="s">
        <v>165</v>
      </c>
      <c r="C177" s="391"/>
      <c r="D177" s="393"/>
      <c r="E177" s="393"/>
      <c r="F177" s="393"/>
      <c r="G177" s="139"/>
      <c r="H177" s="139"/>
      <c r="I177" s="89">
        <f>18710.06+16972.4+13227.377+14316.43+35673.48+24690.182+33584.833+50742.454+17882.464+60819.3479999999</f>
        <v>286619.02799999987</v>
      </c>
      <c r="J177" s="91">
        <f>43942.635+16972.4+13227.377+14316.434+32284.497+3388.98+24690.182+159197.694</f>
        <v>308020.19900000002</v>
      </c>
      <c r="K177" s="91">
        <f>43942.635+16972.4+13227.377+14316.434+32284.497+3388.98+24690.182+159197.694</f>
        <v>308020.19900000002</v>
      </c>
      <c r="L177" s="91"/>
      <c r="M177" s="91">
        <f>1290.6+9069.511+13883.899+13027.387+19534.006+30752.158+5840.085+2082.139+4115.875+3500.253+3809.903+7634.506+27168.895</f>
        <v>141709.217</v>
      </c>
      <c r="N177" s="91">
        <f>33473.808+52387.55+41606.488</f>
        <v>127467.84600000001</v>
      </c>
      <c r="O177" s="91">
        <f>33473.808+52387.55+41606.488</f>
        <v>127467.84600000001</v>
      </c>
      <c r="P177" s="91"/>
      <c r="Q177" s="117">
        <f>5018.683+3292.514+6068.442+3709.875+6779.831+3398.093+9331.514</f>
        <v>37598.952000000005</v>
      </c>
      <c r="R177" s="91">
        <f>5018.683+3292.514+4630.478+3338.888+6101.847+11456.647</f>
        <v>33839.057000000001</v>
      </c>
      <c r="S177" s="91">
        <f>5018.683+3292.514+4630.478+3338.888+6101.847+11456.647</f>
        <v>33839.057000000001</v>
      </c>
      <c r="T177" s="118">
        <f t="shared" si="129"/>
        <v>0</v>
      </c>
      <c r="U177" s="118">
        <f>I177+M177+Q177</f>
        <v>465927.19699999987</v>
      </c>
      <c r="V177" s="118">
        <f t="shared" si="129"/>
        <v>435488.04500000004</v>
      </c>
      <c r="W177" s="118">
        <f t="shared" si="129"/>
        <v>435488.04500000004</v>
      </c>
      <c r="X177" s="91">
        <f>43942.635+16972.4+13227.377</f>
        <v>74142.412000000011</v>
      </c>
      <c r="Y177" s="91">
        <f>43942.635+16972.4+13227.377+14316.434+32284.497+3388.98+24690.182+159197.694</f>
        <v>308020.19900000002</v>
      </c>
      <c r="Z177" s="411"/>
    </row>
    <row r="178" spans="1:27" ht="13.5" hidden="1">
      <c r="A178" s="314"/>
      <c r="B178" s="75" t="s">
        <v>166</v>
      </c>
      <c r="C178" s="391"/>
      <c r="D178" s="393"/>
      <c r="E178" s="393"/>
      <c r="F178" s="393"/>
      <c r="G178" s="286"/>
      <c r="H178" s="139"/>
      <c r="I178" s="89">
        <f>553.7+901.21+806.033</f>
        <v>2260.9430000000002</v>
      </c>
      <c r="J178" s="89">
        <f>553.7+901.208+806.033</f>
        <v>2260.9409999999998</v>
      </c>
      <c r="K178" s="91">
        <f>100+100+353.7+901.208+806.033</f>
        <v>2260.9409999999998</v>
      </c>
      <c r="L178" s="91"/>
      <c r="M178" s="153">
        <f>421.795+636.781</f>
        <v>1058.576</v>
      </c>
      <c r="N178" s="153">
        <f>500.113+636.781</f>
        <v>1136.894</v>
      </c>
      <c r="O178" s="91">
        <f>500.113+636.781</f>
        <v>1136.894</v>
      </c>
      <c r="P178" s="91"/>
      <c r="Q178" s="117"/>
      <c r="R178" s="153"/>
      <c r="S178" s="91"/>
      <c r="T178" s="118">
        <f t="shared" si="129"/>
        <v>0</v>
      </c>
      <c r="U178" s="118">
        <f t="shared" ref="U178:U179" si="135">I178+M178+Q178</f>
        <v>3319.5190000000002</v>
      </c>
      <c r="V178" s="118">
        <f t="shared" si="129"/>
        <v>3397.835</v>
      </c>
      <c r="W178" s="118">
        <f t="shared" si="129"/>
        <v>3397.835</v>
      </c>
      <c r="X178" s="109"/>
      <c r="Y178" s="91">
        <f>100+100+353.7+901.208+806.033</f>
        <v>2260.9409999999998</v>
      </c>
      <c r="Z178" s="411"/>
    </row>
    <row r="179" spans="1:27" ht="13.5" hidden="1">
      <c r="A179" s="314"/>
      <c r="B179" s="75" t="s">
        <v>167</v>
      </c>
      <c r="C179" s="391"/>
      <c r="D179" s="393"/>
      <c r="E179" s="393"/>
      <c r="F179" s="393"/>
      <c r="G179" s="139"/>
      <c r="H179" s="139"/>
      <c r="I179" s="89"/>
      <c r="J179" s="89">
        <v>17211.55</v>
      </c>
      <c r="K179" s="91">
        <v>17211.55</v>
      </c>
      <c r="L179" s="91"/>
      <c r="M179" s="153">
        <v>17211.55</v>
      </c>
      <c r="N179" s="153"/>
      <c r="O179" s="91"/>
      <c r="P179" s="91"/>
      <c r="Q179" s="117"/>
      <c r="R179" s="153"/>
      <c r="S179" s="91"/>
      <c r="T179" s="118">
        <f t="shared" si="129"/>
        <v>0</v>
      </c>
      <c r="U179" s="118">
        <f t="shared" si="135"/>
        <v>17211.55</v>
      </c>
      <c r="V179" s="118">
        <f t="shared" si="129"/>
        <v>17211.55</v>
      </c>
      <c r="W179" s="118">
        <f t="shared" si="129"/>
        <v>17211.55</v>
      </c>
      <c r="X179" s="109"/>
      <c r="Y179" s="91">
        <v>17211.55</v>
      </c>
      <c r="Z179" s="411"/>
    </row>
    <row r="180" spans="1:27">
      <c r="A180" s="314"/>
      <c r="B180" s="41" t="s">
        <v>32</v>
      </c>
      <c r="C180" s="391"/>
      <c r="D180" s="393"/>
      <c r="E180" s="393"/>
      <c r="F180" s="393"/>
      <c r="G180" s="139">
        <f t="shared" ref="G180" si="136">SUM(H180)</f>
        <v>31396.6</v>
      </c>
      <c r="H180" s="139">
        <f>17431.3+13965.3</f>
        <v>31396.6</v>
      </c>
      <c r="I180" s="139">
        <f>SUM(I181:I182)</f>
        <v>15383.669</v>
      </c>
      <c r="J180" s="139">
        <f>SUM(J181:J182)</f>
        <v>17113.269</v>
      </c>
      <c r="K180" s="139">
        <f>SUM(K181:K182)</f>
        <v>17113.269</v>
      </c>
      <c r="L180" s="139">
        <f>SUM(L181:L182)</f>
        <v>0</v>
      </c>
      <c r="M180" s="151">
        <f>SUM(M181:M183)</f>
        <v>7860.107</v>
      </c>
      <c r="N180" s="198">
        <f t="shared" ref="N180:O180" si="137">SUM(N181:N182)</f>
        <v>5361.9560000000001</v>
      </c>
      <c r="O180" s="209">
        <f t="shared" si="137"/>
        <v>5361.9560000000001</v>
      </c>
      <c r="P180" s="253">
        <f>SUM(P181:P182)</f>
        <v>0</v>
      </c>
      <c r="Q180" s="253">
        <f>SUM(Q181:Q183)</f>
        <v>1816.17</v>
      </c>
      <c r="R180" s="273">
        <f t="shared" ref="R180:S180" si="138">SUM(R181:R183)</f>
        <v>2481.0630000000001</v>
      </c>
      <c r="S180" s="273">
        <f t="shared" si="138"/>
        <v>2481.0630000000001</v>
      </c>
      <c r="T180" s="149">
        <f t="shared" si="129"/>
        <v>31396.6</v>
      </c>
      <c r="U180" s="256">
        <f>I180+M180+Q180</f>
        <v>25059.945999999996</v>
      </c>
      <c r="V180" s="282">
        <f t="shared" ref="V180:W180" si="139">J180+N180+R180</f>
        <v>24956.288</v>
      </c>
      <c r="W180" s="282">
        <f t="shared" si="139"/>
        <v>24956.288</v>
      </c>
      <c r="X180" s="139">
        <f>SUM(X181:X182)</f>
        <v>3575.297</v>
      </c>
      <c r="Y180" s="139">
        <f>SUM(Y181:Y182)</f>
        <v>17113.269</v>
      </c>
      <c r="Z180" s="411"/>
    </row>
    <row r="181" spans="1:27" ht="13.5" hidden="1">
      <c r="A181" s="314"/>
      <c r="B181" s="75" t="s">
        <v>165</v>
      </c>
      <c r="C181" s="391"/>
      <c r="D181" s="393"/>
      <c r="E181" s="393"/>
      <c r="F181" s="393"/>
      <c r="G181" s="139"/>
      <c r="H181" s="139"/>
      <c r="I181" s="89">
        <f>1027.6+804.564+2169.86+870.807+1501.797+2033.406+3086.445+710.286+3143.508</f>
        <v>15348.272999999999</v>
      </c>
      <c r="J181" s="91">
        <f>1743.133+1027.6+804.564+870.807+2169.863+1501.797+138.812+8821.299</f>
        <v>17077.875</v>
      </c>
      <c r="K181" s="91">
        <f>1743.133+1027.6+804.564+870.807+2169.863+1501.797+138.812+8821.299</f>
        <v>17077.875</v>
      </c>
      <c r="L181" s="91"/>
      <c r="M181" s="91">
        <f>47.896+378.126+579.349+543.8+815.405+1283.683+243.782+86.879+171.808+146.111+159.036+318.686+1134.107</f>
        <v>5908.6679999999997</v>
      </c>
      <c r="N181" s="91">
        <f>1408.372+2186.774+1736.774</f>
        <v>5331.92</v>
      </c>
      <c r="O181" s="91">
        <f>1408.372+2186.774+1736.774</f>
        <v>5331.92</v>
      </c>
      <c r="P181" s="91"/>
      <c r="Q181" s="91">
        <f>209.494+137.269+253+154.669+448.104+224.592+389.042</f>
        <v>1816.17</v>
      </c>
      <c r="R181" s="91">
        <f>312.1+366.902+403.294+1398.767</f>
        <v>2481.0630000000001</v>
      </c>
      <c r="S181" s="91">
        <f>312.1+366.902+403.294+1398.767</f>
        <v>2481.0630000000001</v>
      </c>
      <c r="T181" s="118">
        <f t="shared" si="129"/>
        <v>0</v>
      </c>
      <c r="U181" s="118">
        <f>I181+M181+Q181</f>
        <v>23073.110999999997</v>
      </c>
      <c r="V181" s="118">
        <f t="shared" si="129"/>
        <v>22409.794999999998</v>
      </c>
      <c r="W181" s="118">
        <f t="shared" si="129"/>
        <v>22409.794999999998</v>
      </c>
      <c r="X181" s="91">
        <f>1743.133+1027.6+804.564</f>
        <v>3575.297</v>
      </c>
      <c r="Y181" s="91">
        <f>1743.133+1027.6+804.564+870.807+2169.863+1501.797+138.812+8821.299</f>
        <v>17077.875</v>
      </c>
      <c r="Z181" s="411"/>
    </row>
    <row r="182" spans="1:27" ht="13.5" hidden="1">
      <c r="A182" s="314"/>
      <c r="B182" s="75" t="s">
        <v>166</v>
      </c>
      <c r="C182" s="391"/>
      <c r="D182" s="393"/>
      <c r="E182" s="393"/>
      <c r="F182" s="393"/>
      <c r="G182" s="139"/>
      <c r="H182" s="139"/>
      <c r="I182" s="89">
        <f>16.36+19.036</f>
        <v>35.396000000000001</v>
      </c>
      <c r="J182" s="89">
        <f>16.358+19.036</f>
        <v>35.394000000000005</v>
      </c>
      <c r="K182" s="91">
        <f>16.358+19.036</f>
        <v>35.394000000000005</v>
      </c>
      <c r="L182" s="91"/>
      <c r="M182" s="153">
        <f>15.653+30.036</f>
        <v>45.689</v>
      </c>
      <c r="N182" s="153">
        <f>30.036</f>
        <v>30.036000000000001</v>
      </c>
      <c r="O182" s="91">
        <f>30.036</f>
        <v>30.036000000000001</v>
      </c>
      <c r="P182" s="91"/>
      <c r="Q182" s="153"/>
      <c r="R182" s="153"/>
      <c r="S182" s="91"/>
      <c r="T182" s="118">
        <f t="shared" si="129"/>
        <v>0</v>
      </c>
      <c r="U182" s="118">
        <f t="shared" ref="U182:U183" si="140">I182+M182+Q182</f>
        <v>81.085000000000008</v>
      </c>
      <c r="V182" s="118">
        <f t="shared" si="129"/>
        <v>65.430000000000007</v>
      </c>
      <c r="W182" s="118">
        <f t="shared" si="129"/>
        <v>65.430000000000007</v>
      </c>
      <c r="X182" s="109"/>
      <c r="Y182" s="91">
        <f>16.358+19.036</f>
        <v>35.394000000000005</v>
      </c>
      <c r="Z182" s="411"/>
    </row>
    <row r="183" spans="1:27" ht="13.5" hidden="1">
      <c r="A183" s="314"/>
      <c r="B183" s="75" t="s">
        <v>167</v>
      </c>
      <c r="C183" s="391"/>
      <c r="D183" s="393"/>
      <c r="E183" s="393"/>
      <c r="F183" s="393"/>
      <c r="G183" s="233"/>
      <c r="H183" s="233"/>
      <c r="I183" s="89"/>
      <c r="J183" s="89"/>
      <c r="K183" s="91"/>
      <c r="L183" s="91"/>
      <c r="M183" s="153">
        <v>1905.75</v>
      </c>
      <c r="N183" s="153"/>
      <c r="O183" s="91"/>
      <c r="P183" s="91"/>
      <c r="Q183" s="153"/>
      <c r="R183" s="153"/>
      <c r="S183" s="91"/>
      <c r="T183" s="118"/>
      <c r="U183" s="118">
        <f t="shared" si="140"/>
        <v>1905.75</v>
      </c>
      <c r="V183" s="118"/>
      <c r="W183" s="118"/>
      <c r="X183" s="109"/>
      <c r="Y183" s="91"/>
      <c r="Z183" s="411"/>
    </row>
    <row r="184" spans="1:27">
      <c r="A184" s="314"/>
      <c r="B184" s="41" t="s">
        <v>33</v>
      </c>
      <c r="C184" s="391"/>
      <c r="D184" s="393"/>
      <c r="E184" s="393"/>
      <c r="F184" s="393"/>
      <c r="G184" s="139">
        <f>SUM(H184)</f>
        <v>131092.9</v>
      </c>
      <c r="H184" s="139">
        <v>131092.9</v>
      </c>
      <c r="I184" s="139">
        <f>SUM(I185:I186)</f>
        <v>87180.375</v>
      </c>
      <c r="J184" s="139">
        <f>SUM(J185:J187)</f>
        <v>94903.649000000005</v>
      </c>
      <c r="K184" s="139">
        <f>SUM(K185:K187)</f>
        <v>94903.649000000005</v>
      </c>
      <c r="L184" s="139">
        <f>SUM(L185:L187)</f>
        <v>0</v>
      </c>
      <c r="M184" s="151">
        <f>SUM(M185:M187)</f>
        <v>17051.051000000003</v>
      </c>
      <c r="N184" s="198">
        <f t="shared" ref="N184:O184" si="141">SUM(N185:N186)</f>
        <v>12706.447</v>
      </c>
      <c r="O184" s="209">
        <f t="shared" si="141"/>
        <v>12706.447</v>
      </c>
      <c r="P184" s="253">
        <f>SUM(P185:P187)</f>
        <v>0</v>
      </c>
      <c r="Q184" s="253">
        <f>SUM(Q185:Q187)</f>
        <v>4611.1419999999998</v>
      </c>
      <c r="R184" s="273">
        <f t="shared" ref="R184:S184" si="142">SUM(R185:R187)</f>
        <v>3303.5239999999994</v>
      </c>
      <c r="S184" s="273">
        <f t="shared" si="142"/>
        <v>3303.5239999999994</v>
      </c>
      <c r="T184" s="149">
        <f t="shared" si="129"/>
        <v>131092.9</v>
      </c>
      <c r="U184" s="256">
        <f>I184+M184+Q184</f>
        <v>108842.568</v>
      </c>
      <c r="V184" s="282">
        <f t="shared" ref="V184:W184" si="143">J184+N184+R184</f>
        <v>110913.62000000001</v>
      </c>
      <c r="W184" s="282">
        <f t="shared" si="143"/>
        <v>110913.62000000001</v>
      </c>
      <c r="X184" s="139">
        <f>SUM(X185:X186)</f>
        <v>0</v>
      </c>
      <c r="Y184" s="139">
        <f>SUM(Y185:Y187)</f>
        <v>94903.649000000005</v>
      </c>
      <c r="Z184" s="411"/>
    </row>
    <row r="185" spans="1:27" ht="13.5" hidden="1">
      <c r="A185" s="314"/>
      <c r="B185" s="75" t="s">
        <v>165</v>
      </c>
      <c r="C185" s="391"/>
      <c r="D185" s="393"/>
      <c r="E185" s="393"/>
      <c r="F185" s="393"/>
      <c r="G185" s="139"/>
      <c r="H185" s="139"/>
      <c r="I185" s="89">
        <f>23315.96+8546.6+393.91+3366.538+3643.72+9079.36+6283.969+8508.385+12914.608+2841.145+8144.611</f>
        <v>87038.805999999997</v>
      </c>
      <c r="J185" s="89">
        <f>23315.955+4600+8546.6+393.908+3366.538+3643.717+9079.361+6283.969+799.314+31800.021</f>
        <v>91829.383000000002</v>
      </c>
      <c r="K185" s="91">
        <f>23315.955+4600+8546.6+393.908+3366.538+3643.717+9079.361+6283.969+799.314+31800.021</f>
        <v>91829.383000000002</v>
      </c>
      <c r="L185" s="91"/>
      <c r="M185" s="153">
        <f>191.738+958.047+1466.092+1268.825+1902.548+2995.159+568.804+201.879+400.872+340.913+371.073+743.576+2646.161</f>
        <v>14055.687000000002</v>
      </c>
      <c r="N185" s="153">
        <f>3552.562+5101.55+4052.335</f>
        <v>12706.447</v>
      </c>
      <c r="O185" s="91">
        <f>3552.562+5101.55+4052.335</f>
        <v>12706.447</v>
      </c>
      <c r="P185" s="91"/>
      <c r="Q185" s="153">
        <f>488.809+316.2+582.79+356.282+1312.876+658.023+896.162</f>
        <v>4611.1419999999998</v>
      </c>
      <c r="R185" s="153">
        <f>724.5+845.165+1181.588+552.271</f>
        <v>3303.5239999999994</v>
      </c>
      <c r="S185" s="91">
        <f>724.5+845.165+1181.588+552.271</f>
        <v>3303.5239999999994</v>
      </c>
      <c r="T185" s="118">
        <f t="shared" si="129"/>
        <v>0</v>
      </c>
      <c r="U185" s="118">
        <f>I185+M185+Q185</f>
        <v>105705.63500000001</v>
      </c>
      <c r="V185" s="118">
        <f t="shared" si="129"/>
        <v>104535.83</v>
      </c>
      <c r="W185" s="118">
        <f t="shared" si="129"/>
        <v>104535.83</v>
      </c>
      <c r="X185" s="110"/>
      <c r="Y185" s="91">
        <f>23315.955+4600+8546.6+393.908+3366.538+3643.717+9079.361+6283.969+799.314+31800.021</f>
        <v>91829.383000000002</v>
      </c>
      <c r="Z185" s="411"/>
      <c r="AA185" s="234"/>
    </row>
    <row r="186" spans="1:27" ht="13.5" hidden="1">
      <c r="A186" s="314"/>
      <c r="B186" s="75" t="s">
        <v>166</v>
      </c>
      <c r="C186" s="391"/>
      <c r="D186" s="393"/>
      <c r="E186" s="393"/>
      <c r="F186" s="393"/>
      <c r="G186" s="139"/>
      <c r="H186" s="139"/>
      <c r="I186" s="89">
        <f>65.43+76.139</f>
        <v>141.56900000000002</v>
      </c>
      <c r="J186" s="111">
        <f>65.427+76.139</f>
        <v>141.566</v>
      </c>
      <c r="K186" s="114">
        <f>65.427+76.139</f>
        <v>141.566</v>
      </c>
      <c r="L186" s="114"/>
      <c r="M186" s="156">
        <v>62.664000000000001</v>
      </c>
      <c r="N186" s="156"/>
      <c r="O186" s="114"/>
      <c r="P186" s="114"/>
      <c r="Q186" s="156"/>
      <c r="R186" s="156"/>
      <c r="S186" s="114"/>
      <c r="T186" s="118">
        <f t="shared" si="129"/>
        <v>0</v>
      </c>
      <c r="U186" s="118">
        <f t="shared" ref="U186:U187" si="144">I186+M186+Q186</f>
        <v>204.233</v>
      </c>
      <c r="V186" s="118">
        <f t="shared" si="129"/>
        <v>141.566</v>
      </c>
      <c r="W186" s="118">
        <f t="shared" si="129"/>
        <v>141.566</v>
      </c>
      <c r="X186" s="112"/>
      <c r="Y186" s="113">
        <f>65.427+76.139</f>
        <v>141.566</v>
      </c>
      <c r="Z186" s="411"/>
    </row>
    <row r="187" spans="1:27" ht="13.5" hidden="1">
      <c r="A187" s="314"/>
      <c r="B187" s="75" t="s">
        <v>167</v>
      </c>
      <c r="C187" s="391"/>
      <c r="D187" s="393"/>
      <c r="E187" s="393"/>
      <c r="F187" s="393"/>
      <c r="G187" s="139"/>
      <c r="H187" s="139"/>
      <c r="I187" s="89"/>
      <c r="J187" s="111">
        <v>2932.7</v>
      </c>
      <c r="K187" s="114">
        <v>2932.7</v>
      </c>
      <c r="L187" s="114"/>
      <c r="M187" s="156">
        <v>2932.7</v>
      </c>
      <c r="N187" s="156"/>
      <c r="O187" s="114"/>
      <c r="P187" s="114"/>
      <c r="Q187" s="156"/>
      <c r="R187" s="156"/>
      <c r="S187" s="114"/>
      <c r="T187" s="118">
        <f t="shared" si="129"/>
        <v>0</v>
      </c>
      <c r="U187" s="118">
        <f t="shared" si="144"/>
        <v>2932.7</v>
      </c>
      <c r="V187" s="118">
        <f t="shared" si="129"/>
        <v>2932.7</v>
      </c>
      <c r="W187" s="118">
        <f t="shared" si="129"/>
        <v>2932.7</v>
      </c>
      <c r="X187" s="112"/>
      <c r="Y187" s="114">
        <v>2932.7</v>
      </c>
      <c r="Z187" s="411"/>
    </row>
    <row r="188" spans="1:27">
      <c r="A188" s="314"/>
      <c r="B188" s="22" t="s">
        <v>55</v>
      </c>
      <c r="C188" s="391"/>
      <c r="D188" s="393"/>
      <c r="E188" s="393"/>
      <c r="F188" s="393"/>
      <c r="G188" s="140">
        <f>SUM(G189:G192)</f>
        <v>1366800</v>
      </c>
      <c r="H188" s="140">
        <f>SUM(H189:H192)</f>
        <v>683400</v>
      </c>
      <c r="I188" s="140">
        <f t="shared" ref="I188:J188" si="145">SUM(I189:I192)</f>
        <v>73211.207999999999</v>
      </c>
      <c r="J188" s="140">
        <f t="shared" si="145"/>
        <v>0</v>
      </c>
      <c r="K188" s="140">
        <f>SUM(K189:K192)</f>
        <v>0</v>
      </c>
      <c r="L188" s="140">
        <f>SUM(L189:L192)</f>
        <v>0</v>
      </c>
      <c r="M188" s="200">
        <f t="shared" ref="M188:O188" si="146">SUM(M189:M192)</f>
        <v>0</v>
      </c>
      <c r="N188" s="200">
        <f t="shared" si="146"/>
        <v>0</v>
      </c>
      <c r="O188" s="208">
        <f t="shared" si="146"/>
        <v>0</v>
      </c>
      <c r="P188" s="254">
        <f>SUM(P189:P192)</f>
        <v>0</v>
      </c>
      <c r="Q188" s="254">
        <f t="shared" ref="Q188:S188" si="147">SUM(Q189:Q192)</f>
        <v>0</v>
      </c>
      <c r="R188" s="254">
        <f t="shared" si="147"/>
        <v>0</v>
      </c>
      <c r="S188" s="254">
        <f t="shared" si="147"/>
        <v>0</v>
      </c>
      <c r="T188" s="144">
        <f t="shared" si="129"/>
        <v>683400</v>
      </c>
      <c r="U188" s="144">
        <f>I188+M188+Q188</f>
        <v>73211.207999999999</v>
      </c>
      <c r="V188" s="280">
        <f t="shared" ref="V188:W188" si="148">J188+N188+R188</f>
        <v>0</v>
      </c>
      <c r="W188" s="280">
        <f t="shared" si="148"/>
        <v>0</v>
      </c>
      <c r="X188" s="140">
        <f>SUM(X189:X192)</f>
        <v>0</v>
      </c>
      <c r="Y188" s="140">
        <f>SUM(Y189:Y192)</f>
        <v>0</v>
      </c>
      <c r="Z188" s="391"/>
    </row>
    <row r="189" spans="1:27">
      <c r="A189" s="314"/>
      <c r="B189" s="41" t="s">
        <v>56</v>
      </c>
      <c r="C189" s="391"/>
      <c r="D189" s="393"/>
      <c r="E189" s="393"/>
      <c r="F189" s="393"/>
      <c r="G189" s="139">
        <f>SUM(H189:Y189)</f>
        <v>714000</v>
      </c>
      <c r="H189" s="139">
        <v>357000</v>
      </c>
      <c r="I189" s="139"/>
      <c r="J189" s="139"/>
      <c r="K189" s="139"/>
      <c r="L189" s="139"/>
      <c r="M189" s="139"/>
      <c r="N189" s="139"/>
      <c r="O189" s="209"/>
      <c r="P189" s="253"/>
      <c r="Q189" s="253"/>
      <c r="R189" s="253"/>
      <c r="S189" s="253"/>
      <c r="T189" s="149">
        <f t="shared" si="129"/>
        <v>357000</v>
      </c>
      <c r="U189" s="149">
        <f>I189+M189+Q189</f>
        <v>0</v>
      </c>
      <c r="V189" s="149">
        <f t="shared" si="129"/>
        <v>0</v>
      </c>
      <c r="W189" s="149">
        <f t="shared" si="129"/>
        <v>0</v>
      </c>
      <c r="X189" s="140"/>
      <c r="Y189" s="140"/>
      <c r="Z189" s="391"/>
    </row>
    <row r="190" spans="1:27">
      <c r="A190" s="393"/>
      <c r="B190" s="41" t="s">
        <v>57</v>
      </c>
      <c r="C190" s="391"/>
      <c r="D190" s="393"/>
      <c r="E190" s="393"/>
      <c r="F190" s="393"/>
      <c r="G190" s="139">
        <f>SUM(H190:Y190)</f>
        <v>652800</v>
      </c>
      <c r="H190" s="139">
        <v>326400</v>
      </c>
      <c r="I190" s="139"/>
      <c r="J190" s="139"/>
      <c r="K190" s="139"/>
      <c r="L190" s="139"/>
      <c r="M190" s="139"/>
      <c r="N190" s="139"/>
      <c r="O190" s="209"/>
      <c r="P190" s="253"/>
      <c r="Q190" s="253"/>
      <c r="R190" s="253"/>
      <c r="S190" s="253"/>
      <c r="T190" s="149">
        <f t="shared" si="129"/>
        <v>326400</v>
      </c>
      <c r="U190" s="256">
        <f t="shared" ref="U190:U191" si="149">I190+M190+Q190</f>
        <v>0</v>
      </c>
      <c r="V190" s="149">
        <f t="shared" si="129"/>
        <v>0</v>
      </c>
      <c r="W190" s="149">
        <f t="shared" si="129"/>
        <v>0</v>
      </c>
      <c r="X190" s="140"/>
      <c r="Y190" s="139"/>
      <c r="Z190" s="391"/>
    </row>
    <row r="191" spans="1:27" ht="12.75" hidden="1" customHeight="1">
      <c r="A191" s="393"/>
      <c r="B191" s="75" t="s">
        <v>168</v>
      </c>
      <c r="C191" s="391"/>
      <c r="D191" s="393"/>
      <c r="E191" s="393"/>
      <c r="F191" s="393"/>
      <c r="G191" s="139"/>
      <c r="H191" s="139"/>
      <c r="I191" s="106">
        <f>1147.119+999.85+665.384+3128.252+3293.536+1610.884+60414.68+1951.503</f>
        <v>73211.207999999999</v>
      </c>
      <c r="J191" s="139"/>
      <c r="K191" s="139"/>
      <c r="L191" s="139"/>
      <c r="M191" s="139"/>
      <c r="N191" s="139"/>
      <c r="O191" s="139"/>
      <c r="P191" s="253"/>
      <c r="Q191" s="253"/>
      <c r="R191" s="253"/>
      <c r="S191" s="253"/>
      <c r="T191" s="144">
        <f t="shared" si="129"/>
        <v>0</v>
      </c>
      <c r="U191" s="256">
        <f t="shared" si="149"/>
        <v>73211.207999999999</v>
      </c>
      <c r="V191" s="144">
        <f t="shared" si="129"/>
        <v>0</v>
      </c>
      <c r="W191" s="144">
        <f t="shared" si="129"/>
        <v>0</v>
      </c>
      <c r="X191" s="140"/>
      <c r="Y191" s="139"/>
      <c r="Z191" s="391"/>
    </row>
    <row r="192" spans="1:27">
      <c r="A192" s="394"/>
      <c r="B192" s="23" t="s">
        <v>38</v>
      </c>
      <c r="C192" s="392"/>
      <c r="D192" s="394"/>
      <c r="E192" s="394"/>
      <c r="F192" s="394"/>
      <c r="G192" s="140">
        <f>SUM(H192:Y192)</f>
        <v>0</v>
      </c>
      <c r="H192" s="140">
        <v>0</v>
      </c>
      <c r="I192" s="140"/>
      <c r="J192" s="140"/>
      <c r="K192" s="140"/>
      <c r="L192" s="140"/>
      <c r="M192" s="140"/>
      <c r="N192" s="140"/>
      <c r="O192" s="140"/>
      <c r="P192" s="254"/>
      <c r="Q192" s="254"/>
      <c r="R192" s="254"/>
      <c r="S192" s="254"/>
      <c r="T192" s="144">
        <f t="shared" si="129"/>
        <v>0</v>
      </c>
      <c r="U192" s="144">
        <f>I192+M192+Q192</f>
        <v>0</v>
      </c>
      <c r="V192" s="144">
        <f t="shared" si="129"/>
        <v>0</v>
      </c>
      <c r="W192" s="144">
        <f t="shared" si="129"/>
        <v>0</v>
      </c>
      <c r="X192" s="140">
        <v>0</v>
      </c>
      <c r="Y192" s="140">
        <v>0</v>
      </c>
      <c r="Z192" s="392"/>
    </row>
    <row r="193" spans="1:26">
      <c r="A193" s="313" t="s">
        <v>88</v>
      </c>
      <c r="B193" s="21" t="s">
        <v>119</v>
      </c>
      <c r="C193" s="321" t="s">
        <v>43</v>
      </c>
      <c r="D193" s="304" t="s">
        <v>2</v>
      </c>
      <c r="E193" s="328">
        <v>30</v>
      </c>
      <c r="F193" s="429" t="s">
        <v>18</v>
      </c>
      <c r="G193" s="25">
        <f>G194+G196+G198+G202+G203</f>
        <v>1081.5</v>
      </c>
      <c r="H193" s="25">
        <f>H194+H196+H198+H202+H203</f>
        <v>0</v>
      </c>
      <c r="I193" s="182"/>
      <c r="J193" s="182"/>
      <c r="K193" s="182"/>
      <c r="L193" s="25">
        <f>L194+L196+L198+L202+L203</f>
        <v>1081.5</v>
      </c>
      <c r="M193" s="205">
        <v>0</v>
      </c>
      <c r="N193" s="205">
        <v>0</v>
      </c>
      <c r="O193" s="205">
        <v>0</v>
      </c>
      <c r="P193" s="25">
        <f>P194+P196+P198+P202+P203</f>
        <v>0</v>
      </c>
      <c r="Q193" s="205">
        <v>0</v>
      </c>
      <c r="R193" s="205">
        <v>0</v>
      </c>
      <c r="S193" s="205">
        <v>0</v>
      </c>
      <c r="T193" s="25">
        <f>H193+L193</f>
        <v>1081.5</v>
      </c>
      <c r="U193" s="25">
        <f>I193+M193+Q193</f>
        <v>0</v>
      </c>
      <c r="V193" s="25">
        <f t="shared" ref="V193:W194" si="150">J193+N193+R193</f>
        <v>0</v>
      </c>
      <c r="W193" s="25">
        <f t="shared" si="150"/>
        <v>0</v>
      </c>
      <c r="X193" s="26"/>
      <c r="Y193" s="26"/>
      <c r="Z193" s="349"/>
    </row>
    <row r="194" spans="1:26">
      <c r="A194" s="314"/>
      <c r="B194" s="22" t="s">
        <v>127</v>
      </c>
      <c r="C194" s="322"/>
      <c r="D194" s="307"/>
      <c r="E194" s="393"/>
      <c r="F194" s="430"/>
      <c r="G194" s="323">
        <v>1081.5</v>
      </c>
      <c r="H194" s="323">
        <v>0</v>
      </c>
      <c r="I194" s="134"/>
      <c r="J194" s="134"/>
      <c r="K194" s="134"/>
      <c r="L194" s="323">
        <v>1081.5</v>
      </c>
      <c r="M194" s="134"/>
      <c r="N194" s="134"/>
      <c r="O194" s="134"/>
      <c r="P194" s="323">
        <v>0</v>
      </c>
      <c r="Q194" s="245"/>
      <c r="R194" s="245"/>
      <c r="S194" s="245"/>
      <c r="T194" s="323">
        <f t="shared" ref="T194:U195" si="151">H194+L194</f>
        <v>1081.5</v>
      </c>
      <c r="U194" s="323">
        <f>I194+M194+Q194</f>
        <v>0</v>
      </c>
      <c r="V194" s="323">
        <f t="shared" si="150"/>
        <v>0</v>
      </c>
      <c r="W194" s="323">
        <f t="shared" si="150"/>
        <v>0</v>
      </c>
      <c r="X194" s="323">
        <v>1081.5</v>
      </c>
      <c r="Y194" s="323"/>
      <c r="Z194" s="350"/>
    </row>
    <row r="195" spans="1:26">
      <c r="A195" s="314"/>
      <c r="B195" s="40" t="s">
        <v>27</v>
      </c>
      <c r="C195" s="322"/>
      <c r="D195" s="307"/>
      <c r="E195" s="393"/>
      <c r="F195" s="430"/>
      <c r="G195" s="324"/>
      <c r="H195" s="324"/>
      <c r="I195" s="136"/>
      <c r="J195" s="136"/>
      <c r="K195" s="136"/>
      <c r="L195" s="324"/>
      <c r="M195" s="136"/>
      <c r="N195" s="136"/>
      <c r="O195" s="136"/>
      <c r="P195" s="324"/>
      <c r="Q195" s="247"/>
      <c r="R195" s="247"/>
      <c r="S195" s="247"/>
      <c r="T195" s="324">
        <f t="shared" si="151"/>
        <v>0</v>
      </c>
      <c r="U195" s="324">
        <f t="shared" si="151"/>
        <v>0</v>
      </c>
      <c r="V195" s="324">
        <f t="shared" ref="V195" si="152">J195+N195</f>
        <v>0</v>
      </c>
      <c r="W195" s="324">
        <f t="shared" ref="W195" si="153">K195+O195</f>
        <v>0</v>
      </c>
      <c r="X195" s="324"/>
      <c r="Y195" s="324"/>
      <c r="Z195" s="350"/>
    </row>
    <row r="196" spans="1:26">
      <c r="A196" s="314"/>
      <c r="B196" s="23" t="s">
        <v>29</v>
      </c>
      <c r="C196" s="322"/>
      <c r="D196" s="307"/>
      <c r="E196" s="393"/>
      <c r="F196" s="430"/>
      <c r="G196" s="150">
        <v>0</v>
      </c>
      <c r="H196" s="136"/>
      <c r="I196" s="136"/>
      <c r="J196" s="136"/>
      <c r="K196" s="136"/>
      <c r="L196" s="140">
        <v>0</v>
      </c>
      <c r="M196" s="136"/>
      <c r="N196" s="136"/>
      <c r="O196" s="136"/>
      <c r="P196" s="254">
        <v>0</v>
      </c>
      <c r="Q196" s="247"/>
      <c r="R196" s="247"/>
      <c r="S196" s="247"/>
      <c r="T196" s="150">
        <f>H196+L196</f>
        <v>0</v>
      </c>
      <c r="U196" s="257">
        <f>I196+M196+Q196</f>
        <v>0</v>
      </c>
      <c r="V196" s="150">
        <f>J196+N196</f>
        <v>0</v>
      </c>
      <c r="W196" s="150">
        <f>K196+O196</f>
        <v>0</v>
      </c>
      <c r="X196" s="136"/>
      <c r="Y196" s="136"/>
      <c r="Z196" s="350"/>
    </row>
    <row r="197" spans="1:26">
      <c r="A197" s="314"/>
      <c r="B197" s="44" t="s">
        <v>39</v>
      </c>
      <c r="C197" s="322"/>
      <c r="D197" s="307"/>
      <c r="E197" s="393"/>
      <c r="F197" s="430"/>
      <c r="G197" s="151">
        <v>0</v>
      </c>
      <c r="H197" s="136"/>
      <c r="I197" s="136"/>
      <c r="J197" s="136"/>
      <c r="K197" s="136"/>
      <c r="L197" s="139">
        <v>0</v>
      </c>
      <c r="M197" s="136"/>
      <c r="N197" s="136"/>
      <c r="O197" s="136"/>
      <c r="P197" s="253">
        <v>0</v>
      </c>
      <c r="Q197" s="247"/>
      <c r="R197" s="247"/>
      <c r="S197" s="247"/>
      <c r="T197" s="151">
        <f t="shared" ref="T197:W203" si="154">H197+L197</f>
        <v>0</v>
      </c>
      <c r="U197" s="258">
        <f>I197+M197+Q197</f>
        <v>0</v>
      </c>
      <c r="V197" s="151">
        <f t="shared" si="154"/>
        <v>0</v>
      </c>
      <c r="W197" s="151">
        <f t="shared" si="154"/>
        <v>0</v>
      </c>
      <c r="X197" s="136"/>
      <c r="Y197" s="136"/>
      <c r="Z197" s="350"/>
    </row>
    <row r="198" spans="1:26">
      <c r="A198" s="314"/>
      <c r="B198" s="23" t="s">
        <v>30</v>
      </c>
      <c r="C198" s="322"/>
      <c r="D198" s="307"/>
      <c r="E198" s="393"/>
      <c r="F198" s="430"/>
      <c r="G198" s="150">
        <v>0</v>
      </c>
      <c r="H198" s="136"/>
      <c r="I198" s="136"/>
      <c r="J198" s="136"/>
      <c r="K198" s="136"/>
      <c r="L198" s="140">
        <v>0</v>
      </c>
      <c r="M198" s="136"/>
      <c r="N198" s="136"/>
      <c r="O198" s="136"/>
      <c r="P198" s="254">
        <v>0</v>
      </c>
      <c r="Q198" s="247"/>
      <c r="R198" s="247"/>
      <c r="S198" s="247"/>
      <c r="T198" s="150">
        <f t="shared" si="154"/>
        <v>0</v>
      </c>
      <c r="U198" s="257">
        <f>I198+M198+Q198</f>
        <v>0</v>
      </c>
      <c r="V198" s="150">
        <f t="shared" si="154"/>
        <v>0</v>
      </c>
      <c r="W198" s="150">
        <f t="shared" si="154"/>
        <v>0</v>
      </c>
      <c r="X198" s="136"/>
      <c r="Y198" s="136"/>
      <c r="Z198" s="350"/>
    </row>
    <row r="199" spans="1:26">
      <c r="A199" s="314"/>
      <c r="B199" s="44" t="s">
        <v>41</v>
      </c>
      <c r="C199" s="391"/>
      <c r="D199" s="393"/>
      <c r="E199" s="393"/>
      <c r="F199" s="431"/>
      <c r="G199" s="151">
        <v>0</v>
      </c>
      <c r="H199" s="140"/>
      <c r="I199" s="140"/>
      <c r="J199" s="140"/>
      <c r="K199" s="140"/>
      <c r="L199" s="139">
        <v>0</v>
      </c>
      <c r="M199" s="140"/>
      <c r="N199" s="140"/>
      <c r="O199" s="140"/>
      <c r="P199" s="253">
        <v>0</v>
      </c>
      <c r="Q199" s="254"/>
      <c r="R199" s="254"/>
      <c r="S199" s="254"/>
      <c r="T199" s="151">
        <f t="shared" si="154"/>
        <v>0</v>
      </c>
      <c r="U199" s="258">
        <f>I199+M199+Q199</f>
        <v>0</v>
      </c>
      <c r="V199" s="151">
        <f t="shared" si="154"/>
        <v>0</v>
      </c>
      <c r="W199" s="151">
        <f t="shared" si="154"/>
        <v>0</v>
      </c>
      <c r="X199" s="140"/>
      <c r="Y199" s="140"/>
      <c r="Z199" s="350"/>
    </row>
    <row r="200" spans="1:26">
      <c r="A200" s="314"/>
      <c r="B200" s="41" t="s">
        <v>32</v>
      </c>
      <c r="C200" s="391"/>
      <c r="D200" s="393"/>
      <c r="E200" s="393"/>
      <c r="F200" s="431"/>
      <c r="G200" s="151">
        <v>0</v>
      </c>
      <c r="H200" s="140"/>
      <c r="I200" s="140"/>
      <c r="J200" s="140"/>
      <c r="K200" s="140"/>
      <c r="L200" s="139">
        <v>0</v>
      </c>
      <c r="M200" s="140"/>
      <c r="N200" s="140"/>
      <c r="O200" s="140"/>
      <c r="P200" s="253">
        <v>0</v>
      </c>
      <c r="Q200" s="254"/>
      <c r="R200" s="254"/>
      <c r="S200" s="254"/>
      <c r="T200" s="151">
        <f t="shared" si="154"/>
        <v>0</v>
      </c>
      <c r="U200" s="258">
        <f t="shared" ref="U200:U201" si="155">I200+M200+Q200</f>
        <v>0</v>
      </c>
      <c r="V200" s="151">
        <f t="shared" si="154"/>
        <v>0</v>
      </c>
      <c r="W200" s="151">
        <f t="shared" si="154"/>
        <v>0</v>
      </c>
      <c r="X200" s="140"/>
      <c r="Y200" s="140"/>
      <c r="Z200" s="350"/>
    </row>
    <row r="201" spans="1:26">
      <c r="A201" s="314"/>
      <c r="B201" s="41" t="s">
        <v>33</v>
      </c>
      <c r="C201" s="391"/>
      <c r="D201" s="393"/>
      <c r="E201" s="393"/>
      <c r="F201" s="431"/>
      <c r="G201" s="151">
        <v>0</v>
      </c>
      <c r="H201" s="140"/>
      <c r="I201" s="140"/>
      <c r="J201" s="140"/>
      <c r="K201" s="140"/>
      <c r="L201" s="139">
        <v>0</v>
      </c>
      <c r="M201" s="140"/>
      <c r="N201" s="140"/>
      <c r="O201" s="140"/>
      <c r="P201" s="253">
        <v>0</v>
      </c>
      <c r="Q201" s="254"/>
      <c r="R201" s="254"/>
      <c r="S201" s="254"/>
      <c r="T201" s="151">
        <f t="shared" si="154"/>
        <v>0</v>
      </c>
      <c r="U201" s="258">
        <f t="shared" si="155"/>
        <v>0</v>
      </c>
      <c r="V201" s="151">
        <f t="shared" si="154"/>
        <v>0</v>
      </c>
      <c r="W201" s="151">
        <f t="shared" si="154"/>
        <v>0</v>
      </c>
      <c r="X201" s="140"/>
      <c r="Y201" s="140"/>
      <c r="Z201" s="350"/>
    </row>
    <row r="202" spans="1:26">
      <c r="A202" s="314"/>
      <c r="B202" s="23" t="s">
        <v>37</v>
      </c>
      <c r="C202" s="391"/>
      <c r="D202" s="393"/>
      <c r="E202" s="393"/>
      <c r="F202" s="431"/>
      <c r="G202" s="150">
        <v>0</v>
      </c>
      <c r="H202" s="140"/>
      <c r="I202" s="140"/>
      <c r="J202" s="140"/>
      <c r="K202" s="140"/>
      <c r="L202" s="140">
        <v>0</v>
      </c>
      <c r="M202" s="140"/>
      <c r="N202" s="140"/>
      <c r="O202" s="140"/>
      <c r="P202" s="254">
        <v>0</v>
      </c>
      <c r="Q202" s="254"/>
      <c r="R202" s="254"/>
      <c r="S202" s="254"/>
      <c r="T202" s="150">
        <f t="shared" si="154"/>
        <v>0</v>
      </c>
      <c r="U202" s="257">
        <f>I202+M202+Q202</f>
        <v>0</v>
      </c>
      <c r="V202" s="150">
        <f t="shared" si="154"/>
        <v>0</v>
      </c>
      <c r="W202" s="150">
        <f t="shared" si="154"/>
        <v>0</v>
      </c>
      <c r="X202" s="140"/>
      <c r="Y202" s="140"/>
      <c r="Z202" s="350"/>
    </row>
    <row r="203" spans="1:26">
      <c r="A203" s="315"/>
      <c r="B203" s="23" t="s">
        <v>38</v>
      </c>
      <c r="C203" s="392"/>
      <c r="D203" s="394"/>
      <c r="E203" s="394"/>
      <c r="F203" s="432"/>
      <c r="G203" s="150">
        <v>0</v>
      </c>
      <c r="H203" s="140"/>
      <c r="I203" s="140"/>
      <c r="J203" s="140"/>
      <c r="K203" s="140"/>
      <c r="L203" s="140">
        <v>0</v>
      </c>
      <c r="M203" s="140"/>
      <c r="N203" s="140"/>
      <c r="O203" s="140"/>
      <c r="P203" s="254">
        <v>0</v>
      </c>
      <c r="Q203" s="254"/>
      <c r="R203" s="254"/>
      <c r="S203" s="254"/>
      <c r="T203" s="150">
        <f t="shared" si="154"/>
        <v>0</v>
      </c>
      <c r="U203" s="257">
        <f>I203+M203+Q203</f>
        <v>0</v>
      </c>
      <c r="V203" s="150">
        <f t="shared" si="154"/>
        <v>0</v>
      </c>
      <c r="W203" s="150">
        <f t="shared" si="154"/>
        <v>0</v>
      </c>
      <c r="X203" s="140"/>
      <c r="Y203" s="140"/>
      <c r="Z203" s="351"/>
    </row>
    <row r="204" spans="1:26">
      <c r="A204" s="313" t="s">
        <v>89</v>
      </c>
      <c r="B204" s="16" t="s">
        <v>59</v>
      </c>
      <c r="C204" s="321" t="s">
        <v>43</v>
      </c>
      <c r="D204" s="304" t="s">
        <v>2</v>
      </c>
      <c r="E204" s="328">
        <v>30</v>
      </c>
      <c r="F204" s="429" t="s">
        <v>17</v>
      </c>
      <c r="G204" s="140">
        <f>SUM(G205:G209)</f>
        <v>10815</v>
      </c>
      <c r="H204" s="140">
        <f>SUM(H205:H209)</f>
        <v>0</v>
      </c>
      <c r="I204" s="26"/>
      <c r="J204" s="26"/>
      <c r="K204" s="26"/>
      <c r="L204" s="150">
        <f>SUM(L205:L209)</f>
        <v>0</v>
      </c>
      <c r="M204" s="26">
        <v>0</v>
      </c>
      <c r="N204" s="26">
        <v>0</v>
      </c>
      <c r="O204" s="26">
        <v>0</v>
      </c>
      <c r="P204" s="254">
        <f>SUM(P205:P209)</f>
        <v>10815</v>
      </c>
      <c r="Q204" s="26">
        <v>0</v>
      </c>
      <c r="R204" s="26">
        <v>0</v>
      </c>
      <c r="S204" s="26">
        <v>0</v>
      </c>
      <c r="T204" s="25">
        <f>P204</f>
        <v>10815</v>
      </c>
      <c r="U204" s="25">
        <f>I204+M204+Q204</f>
        <v>0</v>
      </c>
      <c r="V204" s="25">
        <f t="shared" ref="V204:W205" si="156">J204+N204+R204</f>
        <v>0</v>
      </c>
      <c r="W204" s="25">
        <f t="shared" si="156"/>
        <v>0</v>
      </c>
      <c r="X204" s="26"/>
      <c r="Y204" s="26"/>
      <c r="Z204" s="349"/>
    </row>
    <row r="205" spans="1:26">
      <c r="A205" s="314"/>
      <c r="B205" s="22" t="s">
        <v>127</v>
      </c>
      <c r="C205" s="322"/>
      <c r="D205" s="307"/>
      <c r="E205" s="393"/>
      <c r="F205" s="430"/>
      <c r="G205" s="323">
        <v>10815</v>
      </c>
      <c r="H205" s="323"/>
      <c r="I205" s="134"/>
      <c r="J205" s="134"/>
      <c r="K205" s="134"/>
      <c r="L205" s="323"/>
      <c r="M205" s="134"/>
      <c r="N205" s="134"/>
      <c r="O205" s="134"/>
      <c r="P205" s="323">
        <v>10815</v>
      </c>
      <c r="Q205" s="245"/>
      <c r="R205" s="245"/>
      <c r="S205" s="245"/>
      <c r="T205" s="323">
        <f>H205+L205+P205</f>
        <v>10815</v>
      </c>
      <c r="U205" s="323">
        <f>I205+M205+Q205</f>
        <v>0</v>
      </c>
      <c r="V205" s="323">
        <f t="shared" si="156"/>
        <v>0</v>
      </c>
      <c r="W205" s="323">
        <f t="shared" si="156"/>
        <v>0</v>
      </c>
      <c r="X205" s="323"/>
      <c r="Y205" s="323">
        <v>10815</v>
      </c>
      <c r="Z205" s="350"/>
    </row>
    <row r="206" spans="1:26">
      <c r="A206" s="314"/>
      <c r="B206" s="40" t="s">
        <v>27</v>
      </c>
      <c r="C206" s="322"/>
      <c r="D206" s="307"/>
      <c r="E206" s="393"/>
      <c r="F206" s="430"/>
      <c r="G206" s="324"/>
      <c r="H206" s="324"/>
      <c r="I206" s="136"/>
      <c r="J206" s="136"/>
      <c r="K206" s="136"/>
      <c r="L206" s="324"/>
      <c r="M206" s="136"/>
      <c r="N206" s="136"/>
      <c r="O206" s="136"/>
      <c r="P206" s="324"/>
      <c r="Q206" s="247"/>
      <c r="R206" s="247"/>
      <c r="S206" s="247"/>
      <c r="T206" s="324">
        <f t="shared" ref="T206:U206" si="157">H206+L206</f>
        <v>0</v>
      </c>
      <c r="U206" s="324">
        <f t="shared" si="157"/>
        <v>0</v>
      </c>
      <c r="V206" s="324">
        <f t="shared" ref="V206" si="158">J206+N206</f>
        <v>0</v>
      </c>
      <c r="W206" s="324">
        <f t="shared" ref="W206" si="159">K206+O206</f>
        <v>0</v>
      </c>
      <c r="X206" s="324"/>
      <c r="Y206" s="324"/>
      <c r="Z206" s="350"/>
    </row>
    <row r="207" spans="1:26">
      <c r="A207" s="314"/>
      <c r="B207" s="23" t="s">
        <v>29</v>
      </c>
      <c r="C207" s="322"/>
      <c r="D207" s="307"/>
      <c r="E207" s="393"/>
      <c r="F207" s="430"/>
      <c r="G207" s="140">
        <v>0</v>
      </c>
      <c r="H207" s="139"/>
      <c r="I207" s="139"/>
      <c r="J207" s="139"/>
      <c r="K207" s="139"/>
      <c r="L207" s="140">
        <v>0</v>
      </c>
      <c r="M207" s="139"/>
      <c r="N207" s="139"/>
      <c r="O207" s="139"/>
      <c r="P207" s="254">
        <v>0</v>
      </c>
      <c r="Q207" s="253"/>
      <c r="R207" s="253"/>
      <c r="S207" s="253"/>
      <c r="T207" s="150">
        <f>H207+L207</f>
        <v>0</v>
      </c>
      <c r="U207" s="257">
        <f>I207+M207+Q207</f>
        <v>0</v>
      </c>
      <c r="V207" s="150">
        <f>J207+N207</f>
        <v>0</v>
      </c>
      <c r="W207" s="150">
        <f>K207+O207</f>
        <v>0</v>
      </c>
      <c r="X207" s="140"/>
      <c r="Y207" s="140"/>
      <c r="Z207" s="350"/>
    </row>
    <row r="208" spans="1:26">
      <c r="A208" s="314"/>
      <c r="B208" s="44" t="s">
        <v>39</v>
      </c>
      <c r="C208" s="322"/>
      <c r="D208" s="307"/>
      <c r="E208" s="393"/>
      <c r="F208" s="430"/>
      <c r="G208" s="139">
        <v>0</v>
      </c>
      <c r="H208" s="139"/>
      <c r="I208" s="139"/>
      <c r="J208" s="139"/>
      <c r="K208" s="139"/>
      <c r="L208" s="139">
        <v>0</v>
      </c>
      <c r="M208" s="139"/>
      <c r="N208" s="139"/>
      <c r="O208" s="139"/>
      <c r="P208" s="253">
        <v>0</v>
      </c>
      <c r="Q208" s="253"/>
      <c r="R208" s="253"/>
      <c r="S208" s="253"/>
      <c r="T208" s="151">
        <f t="shared" ref="T208:W214" si="160">H208+L208</f>
        <v>0</v>
      </c>
      <c r="U208" s="258">
        <f>I208+M208+Q208</f>
        <v>0</v>
      </c>
      <c r="V208" s="151">
        <f t="shared" si="160"/>
        <v>0</v>
      </c>
      <c r="W208" s="151">
        <f t="shared" si="160"/>
        <v>0</v>
      </c>
      <c r="X208" s="140"/>
      <c r="Y208" s="140"/>
      <c r="Z208" s="350"/>
    </row>
    <row r="209" spans="1:26">
      <c r="A209" s="314"/>
      <c r="B209" s="23" t="s">
        <v>30</v>
      </c>
      <c r="C209" s="322"/>
      <c r="D209" s="307"/>
      <c r="E209" s="393"/>
      <c r="F209" s="430"/>
      <c r="G209" s="140">
        <v>0</v>
      </c>
      <c r="H209" s="139"/>
      <c r="I209" s="139"/>
      <c r="J209" s="139"/>
      <c r="K209" s="139"/>
      <c r="L209" s="140">
        <v>0</v>
      </c>
      <c r="M209" s="139"/>
      <c r="N209" s="139"/>
      <c r="O209" s="139"/>
      <c r="P209" s="254">
        <v>0</v>
      </c>
      <c r="Q209" s="253"/>
      <c r="R209" s="253"/>
      <c r="S209" s="253"/>
      <c r="T209" s="150">
        <f t="shared" si="160"/>
        <v>0</v>
      </c>
      <c r="U209" s="257">
        <f>I209+M209+Q209</f>
        <v>0</v>
      </c>
      <c r="V209" s="150">
        <f t="shared" si="160"/>
        <v>0</v>
      </c>
      <c r="W209" s="150">
        <f t="shared" si="160"/>
        <v>0</v>
      </c>
      <c r="X209" s="140"/>
      <c r="Y209" s="140"/>
      <c r="Z209" s="350"/>
    </row>
    <row r="210" spans="1:26">
      <c r="A210" s="314"/>
      <c r="B210" s="44" t="s">
        <v>41</v>
      </c>
      <c r="C210" s="391"/>
      <c r="D210" s="393"/>
      <c r="E210" s="393"/>
      <c r="F210" s="431"/>
      <c r="G210" s="139">
        <v>0</v>
      </c>
      <c r="H210" s="139"/>
      <c r="I210" s="139"/>
      <c r="J210" s="139"/>
      <c r="K210" s="139"/>
      <c r="L210" s="139">
        <v>0</v>
      </c>
      <c r="M210" s="139"/>
      <c r="N210" s="139"/>
      <c r="O210" s="139"/>
      <c r="P210" s="253">
        <v>0</v>
      </c>
      <c r="Q210" s="253"/>
      <c r="R210" s="253"/>
      <c r="S210" s="253"/>
      <c r="T210" s="151">
        <f t="shared" si="160"/>
        <v>0</v>
      </c>
      <c r="U210" s="258">
        <f>I210+M210+Q210</f>
        <v>0</v>
      </c>
      <c r="V210" s="151">
        <f t="shared" si="160"/>
        <v>0</v>
      </c>
      <c r="W210" s="151">
        <f t="shared" si="160"/>
        <v>0</v>
      </c>
      <c r="X210" s="140"/>
      <c r="Y210" s="140"/>
      <c r="Z210" s="350"/>
    </row>
    <row r="211" spans="1:26">
      <c r="A211" s="314"/>
      <c r="B211" s="41" t="s">
        <v>32</v>
      </c>
      <c r="C211" s="391"/>
      <c r="D211" s="393"/>
      <c r="E211" s="393"/>
      <c r="F211" s="431"/>
      <c r="G211" s="139">
        <v>0</v>
      </c>
      <c r="H211" s="139"/>
      <c r="I211" s="139"/>
      <c r="J211" s="139"/>
      <c r="K211" s="139"/>
      <c r="L211" s="139">
        <v>0</v>
      </c>
      <c r="M211" s="139"/>
      <c r="N211" s="139"/>
      <c r="O211" s="139"/>
      <c r="P211" s="253">
        <v>0</v>
      </c>
      <c r="Q211" s="253"/>
      <c r="R211" s="253"/>
      <c r="S211" s="253"/>
      <c r="T211" s="151">
        <f t="shared" si="160"/>
        <v>0</v>
      </c>
      <c r="U211" s="258">
        <f t="shared" ref="U211:U212" si="161">I211+M211+Q211</f>
        <v>0</v>
      </c>
      <c r="V211" s="151">
        <f t="shared" si="160"/>
        <v>0</v>
      </c>
      <c r="W211" s="151">
        <f t="shared" si="160"/>
        <v>0</v>
      </c>
      <c r="X211" s="140"/>
      <c r="Y211" s="140"/>
      <c r="Z211" s="350"/>
    </row>
    <row r="212" spans="1:26">
      <c r="A212" s="314"/>
      <c r="B212" s="41" t="s">
        <v>33</v>
      </c>
      <c r="C212" s="391"/>
      <c r="D212" s="393"/>
      <c r="E212" s="393"/>
      <c r="F212" s="431"/>
      <c r="G212" s="139">
        <v>0</v>
      </c>
      <c r="H212" s="139"/>
      <c r="I212" s="139"/>
      <c r="J212" s="139"/>
      <c r="K212" s="139"/>
      <c r="L212" s="139">
        <v>0</v>
      </c>
      <c r="M212" s="139"/>
      <c r="N212" s="139"/>
      <c r="O212" s="139"/>
      <c r="P212" s="253">
        <v>0</v>
      </c>
      <c r="Q212" s="253"/>
      <c r="R212" s="253"/>
      <c r="S212" s="253"/>
      <c r="T212" s="151">
        <f t="shared" si="160"/>
        <v>0</v>
      </c>
      <c r="U212" s="258">
        <f t="shared" si="161"/>
        <v>0</v>
      </c>
      <c r="V212" s="151">
        <f t="shared" si="160"/>
        <v>0</v>
      </c>
      <c r="W212" s="151">
        <f t="shared" si="160"/>
        <v>0</v>
      </c>
      <c r="X212" s="140"/>
      <c r="Y212" s="140"/>
      <c r="Z212" s="350"/>
    </row>
    <row r="213" spans="1:26">
      <c r="A213" s="314"/>
      <c r="B213" s="23" t="s">
        <v>37</v>
      </c>
      <c r="C213" s="391"/>
      <c r="D213" s="393"/>
      <c r="E213" s="393"/>
      <c r="F213" s="431"/>
      <c r="G213" s="140">
        <v>0</v>
      </c>
      <c r="H213" s="139"/>
      <c r="I213" s="139"/>
      <c r="J213" s="139"/>
      <c r="K213" s="139"/>
      <c r="L213" s="140">
        <v>0</v>
      </c>
      <c r="M213" s="139"/>
      <c r="N213" s="139"/>
      <c r="O213" s="139"/>
      <c r="P213" s="254">
        <v>0</v>
      </c>
      <c r="Q213" s="253"/>
      <c r="R213" s="253"/>
      <c r="S213" s="253"/>
      <c r="T213" s="150">
        <f t="shared" si="160"/>
        <v>0</v>
      </c>
      <c r="U213" s="257">
        <f>I213+M213+Q213</f>
        <v>0</v>
      </c>
      <c r="V213" s="150">
        <f t="shared" si="160"/>
        <v>0</v>
      </c>
      <c r="W213" s="150">
        <f t="shared" si="160"/>
        <v>0</v>
      </c>
      <c r="X213" s="140"/>
      <c r="Y213" s="140"/>
      <c r="Z213" s="350"/>
    </row>
    <row r="214" spans="1:26">
      <c r="A214" s="314"/>
      <c r="B214" s="23" t="s">
        <v>38</v>
      </c>
      <c r="C214" s="392"/>
      <c r="D214" s="394"/>
      <c r="E214" s="394"/>
      <c r="F214" s="432"/>
      <c r="G214" s="140">
        <v>0</v>
      </c>
      <c r="H214" s="139"/>
      <c r="I214" s="139"/>
      <c r="J214" s="139"/>
      <c r="K214" s="139"/>
      <c r="L214" s="140">
        <v>0</v>
      </c>
      <c r="M214" s="139"/>
      <c r="N214" s="139"/>
      <c r="O214" s="139"/>
      <c r="P214" s="254">
        <v>0</v>
      </c>
      <c r="Q214" s="253"/>
      <c r="R214" s="253"/>
      <c r="S214" s="253"/>
      <c r="T214" s="150">
        <f t="shared" si="160"/>
        <v>0</v>
      </c>
      <c r="U214" s="257">
        <f>I214+M214+Q214</f>
        <v>0</v>
      </c>
      <c r="V214" s="150">
        <f t="shared" si="160"/>
        <v>0</v>
      </c>
      <c r="W214" s="150">
        <f t="shared" si="160"/>
        <v>0</v>
      </c>
      <c r="X214" s="140"/>
      <c r="Y214" s="140"/>
      <c r="Z214" s="351"/>
    </row>
    <row r="215" spans="1:26" ht="12.75" hidden="1" customHeight="1">
      <c r="A215" s="313" t="s">
        <v>90</v>
      </c>
      <c r="B215" s="53"/>
      <c r="C215" s="321" t="s">
        <v>43</v>
      </c>
      <c r="D215" s="304" t="s">
        <v>124</v>
      </c>
      <c r="E215" s="328"/>
      <c r="F215" s="325"/>
      <c r="G215" s="25">
        <f>G216+G218+G220+G224+G225</f>
        <v>0</v>
      </c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360"/>
    </row>
    <row r="216" spans="1:26" ht="12.75" hidden="1" customHeight="1">
      <c r="A216" s="314"/>
      <c r="B216" s="22" t="s">
        <v>127</v>
      </c>
      <c r="C216" s="322"/>
      <c r="D216" s="305"/>
      <c r="E216" s="329"/>
      <c r="F216" s="326"/>
      <c r="G216" s="323">
        <f>SUM(H216:Y216)</f>
        <v>0</v>
      </c>
      <c r="H216" s="323"/>
      <c r="I216" s="134"/>
      <c r="J216" s="134"/>
      <c r="K216" s="134"/>
      <c r="L216" s="134"/>
      <c r="M216" s="134"/>
      <c r="N216" s="134"/>
      <c r="O216" s="134"/>
      <c r="P216" s="245"/>
      <c r="Q216" s="245"/>
      <c r="R216" s="245"/>
      <c r="S216" s="245"/>
      <c r="T216" s="134"/>
      <c r="U216" s="143"/>
      <c r="V216" s="143"/>
      <c r="W216" s="143"/>
      <c r="X216" s="323"/>
      <c r="Y216" s="323"/>
      <c r="Z216" s="307"/>
    </row>
    <row r="217" spans="1:26" ht="12.75" hidden="1" customHeight="1">
      <c r="A217" s="314"/>
      <c r="B217" s="40" t="s">
        <v>27</v>
      </c>
      <c r="C217" s="322"/>
      <c r="D217" s="305"/>
      <c r="E217" s="329"/>
      <c r="F217" s="326"/>
      <c r="G217" s="324"/>
      <c r="H217" s="324"/>
      <c r="I217" s="136"/>
      <c r="J217" s="136"/>
      <c r="K217" s="136"/>
      <c r="L217" s="136"/>
      <c r="M217" s="136"/>
      <c r="N217" s="136"/>
      <c r="O217" s="136"/>
      <c r="P217" s="247"/>
      <c r="Q217" s="247"/>
      <c r="R217" s="247"/>
      <c r="S217" s="247"/>
      <c r="T217" s="136"/>
      <c r="U217" s="144"/>
      <c r="V217" s="144"/>
      <c r="W217" s="144"/>
      <c r="X217" s="324"/>
      <c r="Y217" s="324"/>
      <c r="Z217" s="307"/>
    </row>
    <row r="218" spans="1:26" ht="12.75" hidden="1" customHeight="1">
      <c r="A218" s="314"/>
      <c r="B218" s="23" t="s">
        <v>29</v>
      </c>
      <c r="C218" s="322"/>
      <c r="D218" s="305"/>
      <c r="E218" s="329"/>
      <c r="F218" s="326"/>
      <c r="G218" s="140">
        <f>SUM(G219)</f>
        <v>0</v>
      </c>
      <c r="H218" s="136"/>
      <c r="I218" s="136"/>
      <c r="J218" s="136"/>
      <c r="K218" s="136"/>
      <c r="L218" s="136"/>
      <c r="M218" s="136"/>
      <c r="N218" s="136"/>
      <c r="O218" s="136"/>
      <c r="P218" s="247"/>
      <c r="Q218" s="247"/>
      <c r="R218" s="247"/>
      <c r="S218" s="247"/>
      <c r="T218" s="136"/>
      <c r="U218" s="144"/>
      <c r="V218" s="144"/>
      <c r="W218" s="144"/>
      <c r="X218" s="136"/>
      <c r="Y218" s="136"/>
      <c r="Z218" s="307"/>
    </row>
    <row r="219" spans="1:26" ht="12.75" hidden="1" customHeight="1">
      <c r="A219" s="314"/>
      <c r="B219" s="44" t="s">
        <v>39</v>
      </c>
      <c r="C219" s="322"/>
      <c r="D219" s="305"/>
      <c r="E219" s="329"/>
      <c r="F219" s="326"/>
      <c r="G219" s="139">
        <f>SUM(H219:Y219)</f>
        <v>0</v>
      </c>
      <c r="H219" s="136"/>
      <c r="I219" s="136"/>
      <c r="J219" s="136"/>
      <c r="K219" s="136"/>
      <c r="L219" s="136"/>
      <c r="M219" s="136"/>
      <c r="N219" s="136"/>
      <c r="O219" s="136"/>
      <c r="P219" s="247"/>
      <c r="Q219" s="247"/>
      <c r="R219" s="247"/>
      <c r="S219" s="247"/>
      <c r="T219" s="136"/>
      <c r="U219" s="144"/>
      <c r="V219" s="144"/>
      <c r="W219" s="144"/>
      <c r="X219" s="136"/>
      <c r="Y219" s="136"/>
      <c r="Z219" s="307"/>
    </row>
    <row r="220" spans="1:26" ht="12.75" hidden="1" customHeight="1">
      <c r="A220" s="314"/>
      <c r="B220" s="23" t="s">
        <v>30</v>
      </c>
      <c r="C220" s="322"/>
      <c r="D220" s="305"/>
      <c r="E220" s="329"/>
      <c r="F220" s="326"/>
      <c r="G220" s="140">
        <f>SUM(G221:G223)</f>
        <v>0</v>
      </c>
      <c r="H220" s="136"/>
      <c r="I220" s="136"/>
      <c r="J220" s="136"/>
      <c r="K220" s="136"/>
      <c r="L220" s="136"/>
      <c r="M220" s="136"/>
      <c r="N220" s="136"/>
      <c r="O220" s="136"/>
      <c r="P220" s="247"/>
      <c r="Q220" s="247"/>
      <c r="R220" s="247"/>
      <c r="S220" s="247"/>
      <c r="T220" s="136"/>
      <c r="U220" s="144"/>
      <c r="V220" s="144"/>
      <c r="W220" s="144"/>
      <c r="X220" s="136"/>
      <c r="Y220" s="136"/>
      <c r="Z220" s="307"/>
    </row>
    <row r="221" spans="1:26" ht="12.75" hidden="1" customHeight="1">
      <c r="A221" s="314"/>
      <c r="B221" s="44" t="s">
        <v>41</v>
      </c>
      <c r="C221" s="322"/>
      <c r="D221" s="305"/>
      <c r="E221" s="329"/>
      <c r="F221" s="326"/>
      <c r="G221" s="139">
        <f>SUM(H221:Y221)</f>
        <v>0</v>
      </c>
      <c r="H221" s="140"/>
      <c r="I221" s="140"/>
      <c r="J221" s="140"/>
      <c r="K221" s="140"/>
      <c r="L221" s="140"/>
      <c r="M221" s="140"/>
      <c r="N221" s="140"/>
      <c r="O221" s="140"/>
      <c r="P221" s="254"/>
      <c r="Q221" s="254"/>
      <c r="R221" s="254"/>
      <c r="S221" s="254"/>
      <c r="T221" s="140"/>
      <c r="U221" s="150"/>
      <c r="V221" s="150"/>
      <c r="W221" s="150"/>
      <c r="X221" s="140"/>
      <c r="Y221" s="140"/>
      <c r="Z221" s="307"/>
    </row>
    <row r="222" spans="1:26" ht="12.75" hidden="1" customHeight="1">
      <c r="A222" s="314"/>
      <c r="B222" s="41" t="s">
        <v>32</v>
      </c>
      <c r="C222" s="322"/>
      <c r="D222" s="305"/>
      <c r="E222" s="329"/>
      <c r="F222" s="326"/>
      <c r="G222" s="139">
        <f>SUM(H222:Y222)</f>
        <v>0</v>
      </c>
      <c r="H222" s="140"/>
      <c r="I222" s="140"/>
      <c r="J222" s="140"/>
      <c r="K222" s="140"/>
      <c r="L222" s="140"/>
      <c r="M222" s="140"/>
      <c r="N222" s="140"/>
      <c r="O222" s="140"/>
      <c r="P222" s="254"/>
      <c r="Q222" s="254"/>
      <c r="R222" s="254"/>
      <c r="S222" s="254"/>
      <c r="T222" s="140"/>
      <c r="U222" s="150"/>
      <c r="V222" s="150"/>
      <c r="W222" s="150"/>
      <c r="X222" s="140"/>
      <c r="Y222" s="140"/>
      <c r="Z222" s="307"/>
    </row>
    <row r="223" spans="1:26" ht="12.75" hidden="1" customHeight="1">
      <c r="A223" s="314"/>
      <c r="B223" s="41" t="s">
        <v>33</v>
      </c>
      <c r="C223" s="322"/>
      <c r="D223" s="305"/>
      <c r="E223" s="329"/>
      <c r="F223" s="326"/>
      <c r="G223" s="139">
        <f>SUM(H223:Y223)</f>
        <v>0</v>
      </c>
      <c r="H223" s="140"/>
      <c r="I223" s="140"/>
      <c r="J223" s="140"/>
      <c r="K223" s="140"/>
      <c r="L223" s="140"/>
      <c r="M223" s="140"/>
      <c r="N223" s="140"/>
      <c r="O223" s="140"/>
      <c r="P223" s="254"/>
      <c r="Q223" s="254"/>
      <c r="R223" s="254"/>
      <c r="S223" s="254"/>
      <c r="T223" s="140"/>
      <c r="U223" s="150"/>
      <c r="V223" s="150"/>
      <c r="W223" s="150"/>
      <c r="X223" s="140"/>
      <c r="Y223" s="140"/>
      <c r="Z223" s="307"/>
    </row>
    <row r="224" spans="1:26" ht="12.75" hidden="1" customHeight="1">
      <c r="A224" s="314"/>
      <c r="B224" s="23" t="s">
        <v>37</v>
      </c>
      <c r="C224" s="322"/>
      <c r="D224" s="305"/>
      <c r="E224" s="329"/>
      <c r="F224" s="326"/>
      <c r="G224" s="140">
        <f>SUM(H224:Y224)</f>
        <v>0</v>
      </c>
      <c r="H224" s="140"/>
      <c r="I224" s="140"/>
      <c r="J224" s="140"/>
      <c r="K224" s="140"/>
      <c r="L224" s="140"/>
      <c r="M224" s="140"/>
      <c r="N224" s="140"/>
      <c r="O224" s="140"/>
      <c r="P224" s="254"/>
      <c r="Q224" s="254"/>
      <c r="R224" s="254"/>
      <c r="S224" s="254"/>
      <c r="T224" s="140"/>
      <c r="U224" s="150"/>
      <c r="V224" s="150"/>
      <c r="W224" s="150"/>
      <c r="X224" s="140"/>
      <c r="Y224" s="140"/>
      <c r="Z224" s="307"/>
    </row>
    <row r="225" spans="1:26" ht="12.75" hidden="1" customHeight="1">
      <c r="A225" s="314"/>
      <c r="B225" s="23" t="s">
        <v>38</v>
      </c>
      <c r="C225" s="371"/>
      <c r="D225" s="306"/>
      <c r="E225" s="330"/>
      <c r="F225" s="327"/>
      <c r="G225" s="140">
        <f>SUM(H225:Y225)</f>
        <v>0</v>
      </c>
      <c r="H225" s="140"/>
      <c r="I225" s="140"/>
      <c r="J225" s="140"/>
      <c r="K225" s="140"/>
      <c r="L225" s="140"/>
      <c r="M225" s="140"/>
      <c r="N225" s="140"/>
      <c r="O225" s="140"/>
      <c r="P225" s="254"/>
      <c r="Q225" s="254"/>
      <c r="R225" s="254"/>
      <c r="S225" s="254"/>
      <c r="T225" s="140"/>
      <c r="U225" s="150"/>
      <c r="V225" s="150"/>
      <c r="W225" s="150"/>
      <c r="X225" s="140"/>
      <c r="Y225" s="140"/>
      <c r="Z225" s="361"/>
    </row>
    <row r="226" spans="1:26" ht="12.75" hidden="1" customHeight="1">
      <c r="A226" s="313" t="s">
        <v>74</v>
      </c>
      <c r="B226" s="36"/>
      <c r="C226" s="321" t="s">
        <v>43</v>
      </c>
      <c r="D226" s="304" t="s">
        <v>124</v>
      </c>
      <c r="E226" s="328"/>
      <c r="F226" s="325"/>
      <c r="G226" s="25">
        <f>G227+G229+G231+G235+G236</f>
        <v>0</v>
      </c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360"/>
    </row>
    <row r="227" spans="1:26" ht="12.75" hidden="1" customHeight="1">
      <c r="A227" s="314"/>
      <c r="B227" s="22" t="s">
        <v>127</v>
      </c>
      <c r="C227" s="322"/>
      <c r="D227" s="305"/>
      <c r="E227" s="329"/>
      <c r="F227" s="326"/>
      <c r="G227" s="323">
        <f>SUM(H227:Y227)</f>
        <v>0</v>
      </c>
      <c r="H227" s="323"/>
      <c r="I227" s="134"/>
      <c r="J227" s="134"/>
      <c r="K227" s="134"/>
      <c r="L227" s="134"/>
      <c r="M227" s="134"/>
      <c r="N227" s="134"/>
      <c r="O227" s="134"/>
      <c r="P227" s="245"/>
      <c r="Q227" s="245"/>
      <c r="R227" s="245"/>
      <c r="S227" s="245"/>
      <c r="T227" s="134"/>
      <c r="U227" s="143"/>
      <c r="V227" s="143"/>
      <c r="W227" s="143"/>
      <c r="X227" s="323"/>
      <c r="Y227" s="323"/>
      <c r="Z227" s="307"/>
    </row>
    <row r="228" spans="1:26" ht="12.75" hidden="1" customHeight="1">
      <c r="A228" s="314"/>
      <c r="B228" s="40" t="s">
        <v>27</v>
      </c>
      <c r="C228" s="322"/>
      <c r="D228" s="305"/>
      <c r="E228" s="329"/>
      <c r="F228" s="326"/>
      <c r="G228" s="324"/>
      <c r="H228" s="324"/>
      <c r="I228" s="136"/>
      <c r="J228" s="136"/>
      <c r="K228" s="136"/>
      <c r="L228" s="136"/>
      <c r="M228" s="136"/>
      <c r="N228" s="136"/>
      <c r="O228" s="136"/>
      <c r="P228" s="247"/>
      <c r="Q228" s="247"/>
      <c r="R228" s="247"/>
      <c r="S228" s="247"/>
      <c r="T228" s="136"/>
      <c r="U228" s="144"/>
      <c r="V228" s="144"/>
      <c r="W228" s="144"/>
      <c r="X228" s="324"/>
      <c r="Y228" s="324"/>
      <c r="Z228" s="307"/>
    </row>
    <row r="229" spans="1:26" ht="12.75" hidden="1" customHeight="1">
      <c r="A229" s="314"/>
      <c r="B229" s="23" t="s">
        <v>29</v>
      </c>
      <c r="C229" s="322"/>
      <c r="D229" s="305"/>
      <c r="E229" s="329"/>
      <c r="F229" s="326"/>
      <c r="G229" s="140">
        <f>SUM(G230)</f>
        <v>0</v>
      </c>
      <c r="H229" s="136"/>
      <c r="I229" s="136"/>
      <c r="J229" s="136"/>
      <c r="K229" s="136"/>
      <c r="L229" s="136"/>
      <c r="M229" s="136"/>
      <c r="N229" s="136"/>
      <c r="O229" s="136"/>
      <c r="P229" s="247"/>
      <c r="Q229" s="247"/>
      <c r="R229" s="247"/>
      <c r="S229" s="247"/>
      <c r="T229" s="136"/>
      <c r="U229" s="144"/>
      <c r="V229" s="144"/>
      <c r="W229" s="144"/>
      <c r="X229" s="136"/>
      <c r="Y229" s="136"/>
      <c r="Z229" s="307"/>
    </row>
    <row r="230" spans="1:26" ht="12.75" hidden="1" customHeight="1">
      <c r="A230" s="314"/>
      <c r="B230" s="44" t="s">
        <v>39</v>
      </c>
      <c r="C230" s="322"/>
      <c r="D230" s="305"/>
      <c r="E230" s="329"/>
      <c r="F230" s="326"/>
      <c r="G230" s="139">
        <f>SUM(H230:Y230)</f>
        <v>0</v>
      </c>
      <c r="H230" s="136"/>
      <c r="I230" s="136"/>
      <c r="J230" s="136"/>
      <c r="K230" s="136"/>
      <c r="L230" s="136"/>
      <c r="M230" s="136"/>
      <c r="N230" s="136"/>
      <c r="O230" s="136"/>
      <c r="P230" s="247"/>
      <c r="Q230" s="247"/>
      <c r="R230" s="247"/>
      <c r="S230" s="247"/>
      <c r="T230" s="136"/>
      <c r="U230" s="144"/>
      <c r="V230" s="144"/>
      <c r="W230" s="144"/>
      <c r="X230" s="136"/>
      <c r="Y230" s="136"/>
      <c r="Z230" s="307"/>
    </row>
    <row r="231" spans="1:26" ht="12.75" hidden="1" customHeight="1">
      <c r="A231" s="314"/>
      <c r="B231" s="23" t="s">
        <v>30</v>
      </c>
      <c r="C231" s="322"/>
      <c r="D231" s="305"/>
      <c r="E231" s="329"/>
      <c r="F231" s="326"/>
      <c r="G231" s="140">
        <f>SUM(G232:G234)</f>
        <v>0</v>
      </c>
      <c r="H231" s="136"/>
      <c r="I231" s="136"/>
      <c r="J231" s="136"/>
      <c r="K231" s="136"/>
      <c r="L231" s="136"/>
      <c r="M231" s="136"/>
      <c r="N231" s="136"/>
      <c r="O231" s="136"/>
      <c r="P231" s="247"/>
      <c r="Q231" s="247"/>
      <c r="R231" s="247"/>
      <c r="S231" s="247"/>
      <c r="T231" s="136"/>
      <c r="U231" s="144"/>
      <c r="V231" s="144"/>
      <c r="W231" s="144"/>
      <c r="X231" s="136"/>
      <c r="Y231" s="136"/>
      <c r="Z231" s="307"/>
    </row>
    <row r="232" spans="1:26" ht="12.75" hidden="1" customHeight="1">
      <c r="A232" s="314"/>
      <c r="B232" s="44" t="s">
        <v>41</v>
      </c>
      <c r="C232" s="322"/>
      <c r="D232" s="305"/>
      <c r="E232" s="329"/>
      <c r="F232" s="326"/>
      <c r="G232" s="139">
        <f>SUM(H232:Y232)</f>
        <v>0</v>
      </c>
      <c r="H232" s="140"/>
      <c r="I232" s="140"/>
      <c r="J232" s="140"/>
      <c r="K232" s="140"/>
      <c r="L232" s="140"/>
      <c r="M232" s="140"/>
      <c r="N232" s="140"/>
      <c r="O232" s="140"/>
      <c r="P232" s="254"/>
      <c r="Q232" s="254"/>
      <c r="R232" s="254"/>
      <c r="S232" s="254"/>
      <c r="T232" s="140"/>
      <c r="U232" s="150"/>
      <c r="V232" s="150"/>
      <c r="W232" s="150"/>
      <c r="X232" s="140"/>
      <c r="Y232" s="140"/>
      <c r="Z232" s="307"/>
    </row>
    <row r="233" spans="1:26" ht="12.75" hidden="1" customHeight="1">
      <c r="A233" s="314"/>
      <c r="B233" s="41" t="s">
        <v>32</v>
      </c>
      <c r="C233" s="322"/>
      <c r="D233" s="305"/>
      <c r="E233" s="329"/>
      <c r="F233" s="326"/>
      <c r="G233" s="139">
        <f>SUM(H233:Y233)</f>
        <v>0</v>
      </c>
      <c r="H233" s="140"/>
      <c r="I233" s="140"/>
      <c r="J233" s="140"/>
      <c r="K233" s="140"/>
      <c r="L233" s="140"/>
      <c r="M233" s="140"/>
      <c r="N233" s="140"/>
      <c r="O233" s="140"/>
      <c r="P233" s="254"/>
      <c r="Q233" s="254"/>
      <c r="R233" s="254"/>
      <c r="S233" s="254"/>
      <c r="T233" s="140"/>
      <c r="U233" s="150"/>
      <c r="V233" s="150"/>
      <c r="W233" s="150"/>
      <c r="X233" s="140"/>
      <c r="Y233" s="140"/>
      <c r="Z233" s="307"/>
    </row>
    <row r="234" spans="1:26" ht="12.75" hidden="1" customHeight="1">
      <c r="A234" s="314"/>
      <c r="B234" s="41" t="s">
        <v>33</v>
      </c>
      <c r="C234" s="322"/>
      <c r="D234" s="305"/>
      <c r="E234" s="329"/>
      <c r="F234" s="326"/>
      <c r="G234" s="139">
        <f>SUM(H234:Y234)</f>
        <v>0</v>
      </c>
      <c r="H234" s="140"/>
      <c r="I234" s="140"/>
      <c r="J234" s="140"/>
      <c r="K234" s="140"/>
      <c r="L234" s="140"/>
      <c r="M234" s="140"/>
      <c r="N234" s="140"/>
      <c r="O234" s="140"/>
      <c r="P234" s="254"/>
      <c r="Q234" s="254"/>
      <c r="R234" s="254"/>
      <c r="S234" s="254"/>
      <c r="T234" s="140"/>
      <c r="U234" s="150"/>
      <c r="V234" s="150"/>
      <c r="W234" s="150"/>
      <c r="X234" s="140"/>
      <c r="Y234" s="140"/>
      <c r="Z234" s="307"/>
    </row>
    <row r="235" spans="1:26" ht="12.75" hidden="1" customHeight="1">
      <c r="A235" s="314"/>
      <c r="B235" s="23" t="s">
        <v>37</v>
      </c>
      <c r="C235" s="322"/>
      <c r="D235" s="305"/>
      <c r="E235" s="329"/>
      <c r="F235" s="326"/>
      <c r="G235" s="140">
        <f>SUM(H235:Y235)</f>
        <v>0</v>
      </c>
      <c r="H235" s="140"/>
      <c r="I235" s="140"/>
      <c r="J235" s="140"/>
      <c r="K235" s="140"/>
      <c r="L235" s="140"/>
      <c r="M235" s="140"/>
      <c r="N235" s="140"/>
      <c r="O235" s="140"/>
      <c r="P235" s="254"/>
      <c r="Q235" s="254"/>
      <c r="R235" s="254"/>
      <c r="S235" s="254"/>
      <c r="T235" s="140"/>
      <c r="U235" s="150"/>
      <c r="V235" s="150"/>
      <c r="W235" s="150"/>
      <c r="X235" s="140"/>
      <c r="Y235" s="140"/>
      <c r="Z235" s="307"/>
    </row>
    <row r="236" spans="1:26" ht="12.75" hidden="1" customHeight="1">
      <c r="A236" s="314"/>
      <c r="B236" s="23" t="s">
        <v>38</v>
      </c>
      <c r="C236" s="371"/>
      <c r="D236" s="306"/>
      <c r="E236" s="330"/>
      <c r="F236" s="327"/>
      <c r="G236" s="140">
        <f>SUM(H236:Y236)</f>
        <v>0</v>
      </c>
      <c r="H236" s="140"/>
      <c r="I236" s="140"/>
      <c r="J236" s="140"/>
      <c r="K236" s="140"/>
      <c r="L236" s="140"/>
      <c r="M236" s="140"/>
      <c r="N236" s="140"/>
      <c r="O236" s="140"/>
      <c r="P236" s="254"/>
      <c r="Q236" s="254"/>
      <c r="R236" s="254"/>
      <c r="S236" s="254"/>
      <c r="T236" s="140"/>
      <c r="U236" s="150"/>
      <c r="V236" s="150"/>
      <c r="W236" s="150"/>
      <c r="X236" s="140"/>
      <c r="Y236" s="140"/>
      <c r="Z236" s="361"/>
    </row>
    <row r="237" spans="1:26" ht="25.5">
      <c r="A237" s="313" t="s">
        <v>90</v>
      </c>
      <c r="B237" s="16" t="s">
        <v>45</v>
      </c>
      <c r="C237" s="321" t="s">
        <v>43</v>
      </c>
      <c r="D237" s="304" t="s">
        <v>3</v>
      </c>
      <c r="E237" s="328">
        <v>92</v>
      </c>
      <c r="F237" s="325" t="s">
        <v>17</v>
      </c>
      <c r="G237" s="25">
        <f>G238+G242+G244+G248+G249</f>
        <v>17984.400000000001</v>
      </c>
      <c r="H237" s="25">
        <f>H238+H242+H244+H248+H249</f>
        <v>0</v>
      </c>
      <c r="I237" s="26"/>
      <c r="J237" s="26"/>
      <c r="K237" s="26"/>
      <c r="L237" s="25">
        <f>L238+L242+L244+L248+L249</f>
        <v>17984.400000000001</v>
      </c>
      <c r="M237" s="26">
        <v>0</v>
      </c>
      <c r="N237" s="26">
        <v>0</v>
      </c>
      <c r="O237" s="26">
        <v>0</v>
      </c>
      <c r="P237" s="25">
        <f>P238+P242+P244+P248+P249</f>
        <v>0</v>
      </c>
      <c r="Q237" s="25">
        <f t="shared" ref="Q237" si="162">Q238+Q251+Q253+Q266+Q270</f>
        <v>14859.361999999999</v>
      </c>
      <c r="R237" s="25">
        <f>R238+R242+R244+R248+R249</f>
        <v>14859.361999999999</v>
      </c>
      <c r="S237" s="25">
        <f>S238+S242+S244+S248+S249</f>
        <v>14859.361999999999</v>
      </c>
      <c r="T237" s="25">
        <f>H237+L237</f>
        <v>17984.400000000001</v>
      </c>
      <c r="U237" s="25">
        <f>I237+M237+Q237</f>
        <v>14859.361999999999</v>
      </c>
      <c r="V237" s="25">
        <f t="shared" ref="V237:W238" si="163">J237+N237+R237</f>
        <v>14859.361999999999</v>
      </c>
      <c r="W237" s="25">
        <f t="shared" si="163"/>
        <v>14859.361999999999</v>
      </c>
      <c r="X237" s="26"/>
      <c r="Y237" s="26"/>
      <c r="Z237" s="360"/>
    </row>
    <row r="238" spans="1:26">
      <c r="A238" s="314"/>
      <c r="B238" s="22" t="s">
        <v>127</v>
      </c>
      <c r="C238" s="322"/>
      <c r="D238" s="307"/>
      <c r="E238" s="393"/>
      <c r="F238" s="326"/>
      <c r="G238" s="323">
        <v>17984.400000000001</v>
      </c>
      <c r="H238" s="323"/>
      <c r="I238" s="134"/>
      <c r="J238" s="134"/>
      <c r="K238" s="134"/>
      <c r="L238" s="323">
        <v>17984.400000000001</v>
      </c>
      <c r="M238" s="134"/>
      <c r="N238" s="134"/>
      <c r="O238" s="134"/>
      <c r="P238" s="323">
        <v>0</v>
      </c>
      <c r="Q238" s="387">
        <f>SUM(Q240:Q250)</f>
        <v>14859.361999999999</v>
      </c>
      <c r="R238" s="387">
        <f>SUM(R240:R249)</f>
        <v>14859.361999999999</v>
      </c>
      <c r="S238" s="387">
        <f>SUM(S240:S249)</f>
        <v>14859.361999999999</v>
      </c>
      <c r="T238" s="323">
        <f t="shared" ref="T238:U239" si="164">H238+L238</f>
        <v>17984.400000000001</v>
      </c>
      <c r="U238" s="323">
        <f>I238+M238+Q238</f>
        <v>14859.361999999999</v>
      </c>
      <c r="V238" s="323">
        <f t="shared" si="163"/>
        <v>14859.361999999999</v>
      </c>
      <c r="W238" s="323">
        <f t="shared" si="163"/>
        <v>14859.361999999999</v>
      </c>
      <c r="X238" s="323">
        <v>17984.400000000001</v>
      </c>
      <c r="Y238" s="323"/>
      <c r="Z238" s="307"/>
    </row>
    <row r="239" spans="1:26">
      <c r="A239" s="314"/>
      <c r="B239" s="40" t="s">
        <v>27</v>
      </c>
      <c r="C239" s="322"/>
      <c r="D239" s="307"/>
      <c r="E239" s="393"/>
      <c r="F239" s="326"/>
      <c r="G239" s="324"/>
      <c r="H239" s="324"/>
      <c r="I239" s="136"/>
      <c r="J239" s="136"/>
      <c r="K239" s="136"/>
      <c r="L239" s="324"/>
      <c r="M239" s="136"/>
      <c r="N239" s="136"/>
      <c r="O239" s="136"/>
      <c r="P239" s="324"/>
      <c r="Q239" s="388"/>
      <c r="R239" s="388"/>
      <c r="S239" s="388"/>
      <c r="T239" s="324">
        <f t="shared" si="164"/>
        <v>0</v>
      </c>
      <c r="U239" s="324">
        <f t="shared" si="164"/>
        <v>0</v>
      </c>
      <c r="V239" s="324">
        <f t="shared" ref="V239" si="165">J239+N239</f>
        <v>0</v>
      </c>
      <c r="W239" s="324">
        <f t="shared" ref="W239" si="166">K239+O239</f>
        <v>0</v>
      </c>
      <c r="X239" s="324"/>
      <c r="Y239" s="324"/>
      <c r="Z239" s="307"/>
    </row>
    <row r="240" spans="1:26" hidden="1">
      <c r="A240" s="314"/>
      <c r="B240" s="115" t="s">
        <v>241</v>
      </c>
      <c r="C240" s="322"/>
      <c r="D240" s="307"/>
      <c r="E240" s="393"/>
      <c r="F240" s="326"/>
      <c r="G240" s="274"/>
      <c r="H240" s="274"/>
      <c r="I240" s="274"/>
      <c r="J240" s="274"/>
      <c r="K240" s="274"/>
      <c r="L240" s="274"/>
      <c r="M240" s="274"/>
      <c r="N240" s="274"/>
      <c r="O240" s="274"/>
      <c r="P240" s="274"/>
      <c r="Q240" s="119">
        <f>2799.713+7820.298+4219.021</f>
        <v>14839.031999999999</v>
      </c>
      <c r="R240" s="101">
        <f>1950+849.713+7820.298+4219.021</f>
        <v>14839.031999999999</v>
      </c>
      <c r="S240" s="101">
        <f>1950+849.713+7820.298+4219.021</f>
        <v>14839.031999999999</v>
      </c>
      <c r="T240" s="274"/>
      <c r="U240" s="274"/>
      <c r="V240" s="274"/>
      <c r="W240" s="274"/>
      <c r="X240" s="274"/>
      <c r="Y240" s="274"/>
      <c r="Z240" s="307"/>
    </row>
    <row r="241" spans="1:26" hidden="1">
      <c r="A241" s="314"/>
      <c r="B241" s="115" t="s">
        <v>246</v>
      </c>
      <c r="C241" s="322"/>
      <c r="D241" s="307"/>
      <c r="E241" s="393"/>
      <c r="F241" s="326"/>
      <c r="G241" s="276"/>
      <c r="H241" s="276"/>
      <c r="I241" s="276"/>
      <c r="J241" s="276"/>
      <c r="K241" s="276"/>
      <c r="L241" s="276"/>
      <c r="M241" s="276"/>
      <c r="N241" s="276"/>
      <c r="O241" s="276"/>
      <c r="P241" s="276"/>
      <c r="Q241" s="119">
        <v>20.329999999999998</v>
      </c>
      <c r="R241" s="85">
        <f>6.099+14.231</f>
        <v>20.329999999999998</v>
      </c>
      <c r="S241" s="85">
        <f>6.099+14.231</f>
        <v>20.329999999999998</v>
      </c>
      <c r="T241" s="276"/>
      <c r="U241" s="276"/>
      <c r="V241" s="276"/>
      <c r="W241" s="276"/>
      <c r="X241" s="276"/>
      <c r="Y241" s="276"/>
      <c r="Z241" s="307"/>
    </row>
    <row r="242" spans="1:26">
      <c r="A242" s="314"/>
      <c r="B242" s="23" t="s">
        <v>29</v>
      </c>
      <c r="C242" s="322"/>
      <c r="D242" s="307"/>
      <c r="E242" s="393"/>
      <c r="F242" s="326"/>
      <c r="G242" s="150">
        <v>0</v>
      </c>
      <c r="H242" s="136"/>
      <c r="I242" s="136"/>
      <c r="J242" s="136"/>
      <c r="K242" s="136"/>
      <c r="L242" s="150">
        <v>0</v>
      </c>
      <c r="M242" s="136"/>
      <c r="N242" s="136"/>
      <c r="O242" s="136"/>
      <c r="P242" s="254">
        <v>0</v>
      </c>
      <c r="Q242" s="247"/>
      <c r="R242" s="247"/>
      <c r="S242" s="247"/>
      <c r="T242" s="150">
        <f>H242+L242</f>
        <v>0</v>
      </c>
      <c r="U242" s="257">
        <f>I242+M242+Q242</f>
        <v>0</v>
      </c>
      <c r="V242" s="150">
        <f>J242+N242</f>
        <v>0</v>
      </c>
      <c r="W242" s="150">
        <f>K242+O242</f>
        <v>0</v>
      </c>
      <c r="X242" s="136"/>
      <c r="Y242" s="136"/>
      <c r="Z242" s="307"/>
    </row>
    <row r="243" spans="1:26">
      <c r="A243" s="314"/>
      <c r="B243" s="44" t="s">
        <v>39</v>
      </c>
      <c r="C243" s="322"/>
      <c r="D243" s="307"/>
      <c r="E243" s="393"/>
      <c r="F243" s="326"/>
      <c r="G243" s="151">
        <v>0</v>
      </c>
      <c r="H243" s="136"/>
      <c r="I243" s="136"/>
      <c r="J243" s="136"/>
      <c r="K243" s="136"/>
      <c r="L243" s="151">
        <v>0</v>
      </c>
      <c r="M243" s="136"/>
      <c r="N243" s="136"/>
      <c r="O243" s="136"/>
      <c r="P243" s="253">
        <v>0</v>
      </c>
      <c r="Q243" s="247"/>
      <c r="R243" s="247"/>
      <c r="S243" s="247"/>
      <c r="T243" s="151">
        <f t="shared" ref="T243:W263" si="167">H243+L243</f>
        <v>0</v>
      </c>
      <c r="U243" s="258">
        <f>I243+M243+Q243</f>
        <v>0</v>
      </c>
      <c r="V243" s="151">
        <f t="shared" si="167"/>
        <v>0</v>
      </c>
      <c r="W243" s="151">
        <f t="shared" si="167"/>
        <v>0</v>
      </c>
      <c r="X243" s="136"/>
      <c r="Y243" s="136"/>
      <c r="Z243" s="307"/>
    </row>
    <row r="244" spans="1:26">
      <c r="A244" s="314"/>
      <c r="B244" s="23" t="s">
        <v>30</v>
      </c>
      <c r="C244" s="322"/>
      <c r="D244" s="307"/>
      <c r="E244" s="393"/>
      <c r="F244" s="326"/>
      <c r="G244" s="150">
        <v>0</v>
      </c>
      <c r="H244" s="136"/>
      <c r="I244" s="136"/>
      <c r="J244" s="136"/>
      <c r="K244" s="136"/>
      <c r="L244" s="150">
        <v>0</v>
      </c>
      <c r="M244" s="136"/>
      <c r="N244" s="136"/>
      <c r="O244" s="136"/>
      <c r="P244" s="254">
        <v>0</v>
      </c>
      <c r="Q244" s="247"/>
      <c r="R244" s="247"/>
      <c r="S244" s="247"/>
      <c r="T244" s="150">
        <f t="shared" si="167"/>
        <v>0</v>
      </c>
      <c r="U244" s="257">
        <f>I244+M244+Q244</f>
        <v>0</v>
      </c>
      <c r="V244" s="150">
        <f t="shared" si="167"/>
        <v>0</v>
      </c>
      <c r="W244" s="150">
        <f t="shared" si="167"/>
        <v>0</v>
      </c>
      <c r="X244" s="136"/>
      <c r="Y244" s="136"/>
      <c r="Z244" s="307"/>
    </row>
    <row r="245" spans="1:26">
      <c r="A245" s="314"/>
      <c r="B245" s="44" t="s">
        <v>41</v>
      </c>
      <c r="C245" s="391"/>
      <c r="D245" s="393"/>
      <c r="E245" s="393"/>
      <c r="F245" s="393"/>
      <c r="G245" s="151">
        <v>0</v>
      </c>
      <c r="H245" s="140"/>
      <c r="I245" s="140"/>
      <c r="J245" s="140"/>
      <c r="K245" s="140"/>
      <c r="L245" s="151">
        <v>0</v>
      </c>
      <c r="M245" s="140"/>
      <c r="N245" s="140"/>
      <c r="O245" s="140"/>
      <c r="P245" s="253">
        <v>0</v>
      </c>
      <c r="Q245" s="254"/>
      <c r="R245" s="254"/>
      <c r="S245" s="254"/>
      <c r="T245" s="151">
        <f t="shared" si="167"/>
        <v>0</v>
      </c>
      <c r="U245" s="258">
        <f>I245+M245+Q245</f>
        <v>0</v>
      </c>
      <c r="V245" s="151">
        <f t="shared" si="167"/>
        <v>0</v>
      </c>
      <c r="W245" s="151">
        <f t="shared" si="167"/>
        <v>0</v>
      </c>
      <c r="X245" s="140"/>
      <c r="Y245" s="140"/>
      <c r="Z245" s="393"/>
    </row>
    <row r="246" spans="1:26">
      <c r="A246" s="314"/>
      <c r="B246" s="41" t="s">
        <v>32</v>
      </c>
      <c r="C246" s="391"/>
      <c r="D246" s="393"/>
      <c r="E246" s="393"/>
      <c r="F246" s="393"/>
      <c r="G246" s="151">
        <v>0</v>
      </c>
      <c r="H246" s="140"/>
      <c r="I246" s="140"/>
      <c r="J246" s="140"/>
      <c r="K246" s="140"/>
      <c r="L246" s="151">
        <v>0</v>
      </c>
      <c r="M246" s="140"/>
      <c r="N246" s="140"/>
      <c r="O246" s="140"/>
      <c r="P246" s="253">
        <v>0</v>
      </c>
      <c r="Q246" s="254"/>
      <c r="R246" s="254"/>
      <c r="S246" s="254"/>
      <c r="T246" s="151">
        <f t="shared" si="167"/>
        <v>0</v>
      </c>
      <c r="U246" s="258">
        <f t="shared" ref="U246:U247" si="168">I246+M246+Q246</f>
        <v>0</v>
      </c>
      <c r="V246" s="151">
        <f t="shared" si="167"/>
        <v>0</v>
      </c>
      <c r="W246" s="151">
        <f t="shared" si="167"/>
        <v>0</v>
      </c>
      <c r="X246" s="140"/>
      <c r="Y246" s="140"/>
      <c r="Z246" s="393"/>
    </row>
    <row r="247" spans="1:26">
      <c r="A247" s="314"/>
      <c r="B247" s="41" t="s">
        <v>33</v>
      </c>
      <c r="C247" s="391"/>
      <c r="D247" s="393"/>
      <c r="E247" s="393"/>
      <c r="F247" s="393"/>
      <c r="G247" s="151">
        <v>0</v>
      </c>
      <c r="H247" s="140"/>
      <c r="I247" s="140"/>
      <c r="J247" s="140"/>
      <c r="K247" s="140"/>
      <c r="L247" s="151">
        <v>0</v>
      </c>
      <c r="M247" s="140"/>
      <c r="N247" s="140"/>
      <c r="O247" s="140"/>
      <c r="P247" s="253">
        <v>0</v>
      </c>
      <c r="Q247" s="254"/>
      <c r="R247" s="254"/>
      <c r="S247" s="254"/>
      <c r="T247" s="151">
        <f t="shared" si="167"/>
        <v>0</v>
      </c>
      <c r="U247" s="258">
        <f t="shared" si="168"/>
        <v>0</v>
      </c>
      <c r="V247" s="151">
        <f t="shared" si="167"/>
        <v>0</v>
      </c>
      <c r="W247" s="151">
        <f t="shared" si="167"/>
        <v>0</v>
      </c>
      <c r="X247" s="139"/>
      <c r="Y247" s="140"/>
      <c r="Z247" s="393"/>
    </row>
    <row r="248" spans="1:26">
      <c r="A248" s="314"/>
      <c r="B248" s="23" t="s">
        <v>37</v>
      </c>
      <c r="C248" s="391"/>
      <c r="D248" s="393"/>
      <c r="E248" s="393"/>
      <c r="F248" s="393"/>
      <c r="G248" s="150">
        <v>0</v>
      </c>
      <c r="H248" s="140"/>
      <c r="I248" s="140"/>
      <c r="J248" s="140"/>
      <c r="K248" s="140"/>
      <c r="L248" s="150">
        <v>0</v>
      </c>
      <c r="M248" s="140"/>
      <c r="N248" s="140"/>
      <c r="O248" s="140"/>
      <c r="P248" s="254">
        <v>0</v>
      </c>
      <c r="Q248" s="254"/>
      <c r="R248" s="254"/>
      <c r="S248" s="254"/>
      <c r="T248" s="150">
        <f t="shared" si="167"/>
        <v>0</v>
      </c>
      <c r="U248" s="257">
        <f>I248+M248+Q248</f>
        <v>0</v>
      </c>
      <c r="V248" s="150">
        <f t="shared" si="167"/>
        <v>0</v>
      </c>
      <c r="W248" s="150">
        <f t="shared" si="167"/>
        <v>0</v>
      </c>
      <c r="X248" s="140"/>
      <c r="Y248" s="140"/>
      <c r="Z248" s="393"/>
    </row>
    <row r="249" spans="1:26">
      <c r="A249" s="314"/>
      <c r="B249" s="23" t="s">
        <v>38</v>
      </c>
      <c r="C249" s="392"/>
      <c r="D249" s="394"/>
      <c r="E249" s="394"/>
      <c r="F249" s="394"/>
      <c r="G249" s="150">
        <v>0</v>
      </c>
      <c r="H249" s="140"/>
      <c r="I249" s="140"/>
      <c r="J249" s="140"/>
      <c r="K249" s="140"/>
      <c r="L249" s="150">
        <v>0</v>
      </c>
      <c r="M249" s="140"/>
      <c r="N249" s="140"/>
      <c r="O249" s="140"/>
      <c r="P249" s="254">
        <v>0</v>
      </c>
      <c r="Q249" s="254"/>
      <c r="R249" s="254"/>
      <c r="S249" s="254"/>
      <c r="T249" s="150">
        <f t="shared" si="167"/>
        <v>0</v>
      </c>
      <c r="U249" s="257">
        <f>I249+M249+Q249</f>
        <v>0</v>
      </c>
      <c r="V249" s="150">
        <f t="shared" si="167"/>
        <v>0</v>
      </c>
      <c r="W249" s="150">
        <f t="shared" si="167"/>
        <v>0</v>
      </c>
      <c r="X249" s="140"/>
      <c r="Y249" s="140"/>
      <c r="Z249" s="394"/>
    </row>
    <row r="250" spans="1:26" ht="25.5">
      <c r="A250" s="313" t="s">
        <v>74</v>
      </c>
      <c r="B250" s="16" t="s">
        <v>145</v>
      </c>
      <c r="C250" s="321" t="s">
        <v>58</v>
      </c>
      <c r="D250" s="304" t="s">
        <v>4</v>
      </c>
      <c r="E250" s="328">
        <v>0.32800000000000001</v>
      </c>
      <c r="F250" s="325" t="s">
        <v>17</v>
      </c>
      <c r="G250" s="25">
        <f>G251+G256+G258+G262+G263</f>
        <v>28508.5</v>
      </c>
      <c r="H250" s="25">
        <f>H251+H256+H258+H262+H263</f>
        <v>0</v>
      </c>
      <c r="I250" s="26"/>
      <c r="J250" s="26"/>
      <c r="K250" s="26"/>
      <c r="L250" s="25">
        <f t="shared" ref="L250:S250" si="169">L251+L256+L258+L262+L263</f>
        <v>28508.5</v>
      </c>
      <c r="M250" s="25">
        <f t="shared" si="169"/>
        <v>1066.7380000000001</v>
      </c>
      <c r="N250" s="25">
        <f t="shared" si="169"/>
        <v>1296.7380000000001</v>
      </c>
      <c r="O250" s="25">
        <f t="shared" si="169"/>
        <v>1296.7380000000001</v>
      </c>
      <c r="P250" s="25">
        <f t="shared" si="169"/>
        <v>0</v>
      </c>
      <c r="Q250" s="25">
        <f t="shared" si="169"/>
        <v>0</v>
      </c>
      <c r="R250" s="25">
        <f t="shared" si="169"/>
        <v>0</v>
      </c>
      <c r="S250" s="25">
        <f t="shared" si="169"/>
        <v>0</v>
      </c>
      <c r="T250" s="25">
        <f>H250+L250</f>
        <v>28508.5</v>
      </c>
      <c r="U250" s="25">
        <f>I250+M250+Q250</f>
        <v>1066.7380000000001</v>
      </c>
      <c r="V250" s="25">
        <f t="shared" ref="V250:W251" si="170">J250+N250+R250</f>
        <v>1296.7380000000001</v>
      </c>
      <c r="W250" s="25">
        <f t="shared" si="170"/>
        <v>1296.7380000000001</v>
      </c>
      <c r="X250" s="26"/>
      <c r="Y250" s="26"/>
      <c r="Z250" s="360"/>
    </row>
    <row r="251" spans="1:26">
      <c r="A251" s="314"/>
      <c r="B251" s="22" t="s">
        <v>127</v>
      </c>
      <c r="C251" s="322"/>
      <c r="D251" s="307"/>
      <c r="E251" s="393"/>
      <c r="F251" s="326"/>
      <c r="G251" s="323">
        <v>28508.5</v>
      </c>
      <c r="H251" s="323"/>
      <c r="I251" s="134"/>
      <c r="J251" s="134"/>
      <c r="K251" s="134"/>
      <c r="L251" s="323">
        <v>28508.5</v>
      </c>
      <c r="M251" s="323">
        <f>SUM(M253:M255)</f>
        <v>1066.7380000000001</v>
      </c>
      <c r="N251" s="323">
        <f>SUM(N253:N255)</f>
        <v>1296.7380000000001</v>
      </c>
      <c r="O251" s="323">
        <f>SUM(O253:O255)</f>
        <v>1296.7380000000001</v>
      </c>
      <c r="P251" s="323">
        <v>0</v>
      </c>
      <c r="Q251" s="323">
        <f>SUM(Q253:Q255)</f>
        <v>0</v>
      </c>
      <c r="R251" s="323">
        <f>SUM(R253:R255)</f>
        <v>0</v>
      </c>
      <c r="S251" s="323">
        <f>SUM(S253:S255)</f>
        <v>0</v>
      </c>
      <c r="T251" s="323">
        <f t="shared" ref="T251:U252" si="171">H251+L251</f>
        <v>28508.5</v>
      </c>
      <c r="U251" s="323">
        <f>I251+M251+Q251</f>
        <v>1066.7380000000001</v>
      </c>
      <c r="V251" s="323">
        <f t="shared" si="170"/>
        <v>1296.7380000000001</v>
      </c>
      <c r="W251" s="323">
        <f t="shared" si="170"/>
        <v>1296.7380000000001</v>
      </c>
      <c r="X251" s="323">
        <v>28508.5</v>
      </c>
      <c r="Y251" s="323"/>
      <c r="Z251" s="307"/>
    </row>
    <row r="252" spans="1:26" ht="12.75" customHeight="1">
      <c r="A252" s="314"/>
      <c r="B252" s="40" t="s">
        <v>27</v>
      </c>
      <c r="C252" s="322"/>
      <c r="D252" s="307"/>
      <c r="E252" s="393"/>
      <c r="F252" s="326"/>
      <c r="G252" s="394"/>
      <c r="H252" s="324"/>
      <c r="I252" s="136"/>
      <c r="J252" s="136"/>
      <c r="K252" s="136"/>
      <c r="L252" s="324"/>
      <c r="M252" s="324"/>
      <c r="N252" s="324"/>
      <c r="O252" s="324"/>
      <c r="P252" s="324"/>
      <c r="Q252" s="324"/>
      <c r="R252" s="324"/>
      <c r="S252" s="324"/>
      <c r="T252" s="324">
        <f t="shared" si="171"/>
        <v>0</v>
      </c>
      <c r="U252" s="324">
        <f t="shared" si="171"/>
        <v>0</v>
      </c>
      <c r="V252" s="324">
        <f t="shared" ref="V252" si="172">J252+N252</f>
        <v>0</v>
      </c>
      <c r="W252" s="324">
        <f t="shared" ref="W252" si="173">K252+O252</f>
        <v>0</v>
      </c>
      <c r="X252" s="324"/>
      <c r="Y252" s="324"/>
      <c r="Z252" s="307"/>
    </row>
    <row r="253" spans="1:26" s="169" customFormat="1" ht="12" hidden="1" customHeight="1">
      <c r="A253" s="314"/>
      <c r="B253" s="115" t="s">
        <v>217</v>
      </c>
      <c r="C253" s="322"/>
      <c r="D253" s="307"/>
      <c r="E253" s="393"/>
      <c r="F253" s="326"/>
      <c r="G253" s="168"/>
      <c r="H253" s="118"/>
      <c r="I253" s="118"/>
      <c r="J253" s="118"/>
      <c r="K253" s="118"/>
      <c r="L253" s="118"/>
      <c r="M253" s="117">
        <f>273.138+23.6</f>
        <v>296.738</v>
      </c>
      <c r="N253" s="117">
        <f>81.941+191.197+7.08+16.52</f>
        <v>296.738</v>
      </c>
      <c r="O253" s="117">
        <f>81.941+191.197+7.08+16.52</f>
        <v>296.738</v>
      </c>
      <c r="P253" s="118"/>
      <c r="Q253" s="117"/>
      <c r="R253" s="117"/>
      <c r="S253" s="117"/>
      <c r="T253" s="118"/>
      <c r="U253" s="118">
        <f>I253+M253+Q253</f>
        <v>296.738</v>
      </c>
      <c r="V253" s="118"/>
      <c r="W253" s="118"/>
      <c r="X253" s="118"/>
      <c r="Y253" s="118"/>
      <c r="Z253" s="307"/>
    </row>
    <row r="254" spans="1:26" s="185" customFormat="1" ht="12" hidden="1" customHeight="1">
      <c r="A254" s="314"/>
      <c r="B254" s="115" t="s">
        <v>218</v>
      </c>
      <c r="C254" s="322"/>
      <c r="D254" s="307"/>
      <c r="E254" s="393"/>
      <c r="F254" s="326"/>
      <c r="G254" s="184"/>
      <c r="H254" s="116"/>
      <c r="I254" s="116"/>
      <c r="J254" s="116"/>
      <c r="K254" s="116"/>
      <c r="L254" s="116"/>
      <c r="M254" s="117">
        <v>770</v>
      </c>
      <c r="N254" s="117">
        <v>1000</v>
      </c>
      <c r="O254" s="117">
        <v>1000</v>
      </c>
      <c r="P254" s="116"/>
      <c r="Q254" s="117"/>
      <c r="R254" s="117"/>
      <c r="S254" s="117"/>
      <c r="T254" s="116"/>
      <c r="U254" s="118">
        <f t="shared" ref="U254:U255" si="174">I254+M254+Q254</f>
        <v>770</v>
      </c>
      <c r="V254" s="116"/>
      <c r="W254" s="116"/>
      <c r="X254" s="116"/>
      <c r="Y254" s="116"/>
      <c r="Z254" s="307"/>
    </row>
    <row r="255" spans="1:26" s="185" customFormat="1" ht="12" hidden="1" customHeight="1">
      <c r="A255" s="314"/>
      <c r="B255" s="115"/>
      <c r="C255" s="322"/>
      <c r="D255" s="307"/>
      <c r="E255" s="393"/>
      <c r="F255" s="326"/>
      <c r="G255" s="184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8">
        <f t="shared" si="174"/>
        <v>0</v>
      </c>
      <c r="V255" s="116"/>
      <c r="W255" s="116"/>
      <c r="X255" s="116"/>
      <c r="Y255" s="116"/>
      <c r="Z255" s="307"/>
    </row>
    <row r="256" spans="1:26">
      <c r="A256" s="314"/>
      <c r="B256" s="23" t="s">
        <v>29</v>
      </c>
      <c r="C256" s="322"/>
      <c r="D256" s="307"/>
      <c r="E256" s="393"/>
      <c r="F256" s="326"/>
      <c r="G256" s="150">
        <v>0</v>
      </c>
      <c r="H256" s="136"/>
      <c r="I256" s="136"/>
      <c r="J256" s="136"/>
      <c r="K256" s="136"/>
      <c r="L256" s="150">
        <v>0</v>
      </c>
      <c r="M256" s="136"/>
      <c r="N256" s="136"/>
      <c r="O256" s="136"/>
      <c r="P256" s="254">
        <v>0</v>
      </c>
      <c r="Q256" s="247"/>
      <c r="R256" s="247"/>
      <c r="S256" s="247"/>
      <c r="T256" s="150">
        <f>H256+L256</f>
        <v>0</v>
      </c>
      <c r="U256" s="257">
        <f>I256+M256+Q256</f>
        <v>0</v>
      </c>
      <c r="V256" s="150">
        <f>J256+N256</f>
        <v>0</v>
      </c>
      <c r="W256" s="150">
        <f>K256+O256</f>
        <v>0</v>
      </c>
      <c r="X256" s="136"/>
      <c r="Y256" s="136"/>
      <c r="Z256" s="307"/>
    </row>
    <row r="257" spans="1:26">
      <c r="A257" s="314"/>
      <c r="B257" s="44" t="s">
        <v>39</v>
      </c>
      <c r="C257" s="322"/>
      <c r="D257" s="307"/>
      <c r="E257" s="393"/>
      <c r="F257" s="326"/>
      <c r="G257" s="151">
        <v>0</v>
      </c>
      <c r="H257" s="136"/>
      <c r="I257" s="136"/>
      <c r="J257" s="136"/>
      <c r="K257" s="136"/>
      <c r="L257" s="151">
        <v>0</v>
      </c>
      <c r="M257" s="136"/>
      <c r="N257" s="136"/>
      <c r="O257" s="136"/>
      <c r="P257" s="253">
        <v>0</v>
      </c>
      <c r="Q257" s="247"/>
      <c r="R257" s="247"/>
      <c r="S257" s="247"/>
      <c r="T257" s="151">
        <f t="shared" si="167"/>
        <v>0</v>
      </c>
      <c r="U257" s="258">
        <f>I257+M257+Q257</f>
        <v>0</v>
      </c>
      <c r="V257" s="151">
        <f t="shared" si="167"/>
        <v>0</v>
      </c>
      <c r="W257" s="151">
        <f t="shared" si="167"/>
        <v>0</v>
      </c>
      <c r="X257" s="136"/>
      <c r="Y257" s="136"/>
      <c r="Z257" s="307"/>
    </row>
    <row r="258" spans="1:26">
      <c r="A258" s="314"/>
      <c r="B258" s="23" t="s">
        <v>30</v>
      </c>
      <c r="C258" s="322"/>
      <c r="D258" s="307"/>
      <c r="E258" s="393"/>
      <c r="F258" s="326"/>
      <c r="G258" s="150">
        <v>0</v>
      </c>
      <c r="H258" s="136"/>
      <c r="I258" s="136"/>
      <c r="J258" s="136"/>
      <c r="K258" s="136"/>
      <c r="L258" s="150">
        <v>0</v>
      </c>
      <c r="M258" s="136"/>
      <c r="N258" s="136"/>
      <c r="O258" s="136"/>
      <c r="P258" s="254">
        <v>0</v>
      </c>
      <c r="Q258" s="247"/>
      <c r="R258" s="247"/>
      <c r="S258" s="247"/>
      <c r="T258" s="150">
        <f t="shared" si="167"/>
        <v>0</v>
      </c>
      <c r="U258" s="257">
        <f>I258+M258+Q258</f>
        <v>0</v>
      </c>
      <c r="V258" s="150">
        <f t="shared" si="167"/>
        <v>0</v>
      </c>
      <c r="W258" s="150">
        <f t="shared" si="167"/>
        <v>0</v>
      </c>
      <c r="X258" s="136"/>
      <c r="Y258" s="136"/>
      <c r="Z258" s="307"/>
    </row>
    <row r="259" spans="1:26">
      <c r="A259" s="314"/>
      <c r="B259" s="44" t="s">
        <v>41</v>
      </c>
      <c r="C259" s="391"/>
      <c r="D259" s="393"/>
      <c r="E259" s="393"/>
      <c r="F259" s="393"/>
      <c r="G259" s="151">
        <v>0</v>
      </c>
      <c r="H259" s="140"/>
      <c r="I259" s="140"/>
      <c r="J259" s="140"/>
      <c r="K259" s="140"/>
      <c r="L259" s="151">
        <v>0</v>
      </c>
      <c r="M259" s="140"/>
      <c r="N259" s="140"/>
      <c r="O259" s="140"/>
      <c r="P259" s="253">
        <v>0</v>
      </c>
      <c r="Q259" s="254"/>
      <c r="R259" s="254"/>
      <c r="S259" s="254"/>
      <c r="T259" s="151">
        <f t="shared" si="167"/>
        <v>0</v>
      </c>
      <c r="U259" s="258">
        <f>I259+M259+Q259</f>
        <v>0</v>
      </c>
      <c r="V259" s="151">
        <f t="shared" si="167"/>
        <v>0</v>
      </c>
      <c r="W259" s="151">
        <f t="shared" si="167"/>
        <v>0</v>
      </c>
      <c r="X259" s="140"/>
      <c r="Y259" s="140"/>
      <c r="Z259" s="393"/>
    </row>
    <row r="260" spans="1:26">
      <c r="A260" s="314"/>
      <c r="B260" s="41" t="s">
        <v>32</v>
      </c>
      <c r="C260" s="391"/>
      <c r="D260" s="393"/>
      <c r="E260" s="393"/>
      <c r="F260" s="393"/>
      <c r="G260" s="151">
        <v>0</v>
      </c>
      <c r="H260" s="140"/>
      <c r="I260" s="140"/>
      <c r="J260" s="140"/>
      <c r="K260" s="140"/>
      <c r="L260" s="151">
        <v>0</v>
      </c>
      <c r="M260" s="140"/>
      <c r="N260" s="140"/>
      <c r="O260" s="140"/>
      <c r="P260" s="253">
        <v>0</v>
      </c>
      <c r="Q260" s="254"/>
      <c r="R260" s="254"/>
      <c r="S260" s="254"/>
      <c r="T260" s="151">
        <f t="shared" si="167"/>
        <v>0</v>
      </c>
      <c r="U260" s="258">
        <f t="shared" ref="U260:U261" si="175">I260+M260+Q260</f>
        <v>0</v>
      </c>
      <c r="V260" s="151">
        <f t="shared" si="167"/>
        <v>0</v>
      </c>
      <c r="W260" s="151">
        <f t="shared" si="167"/>
        <v>0</v>
      </c>
      <c r="X260" s="140"/>
      <c r="Y260" s="140"/>
      <c r="Z260" s="393"/>
    </row>
    <row r="261" spans="1:26">
      <c r="A261" s="314"/>
      <c r="B261" s="41" t="s">
        <v>33</v>
      </c>
      <c r="C261" s="391"/>
      <c r="D261" s="393"/>
      <c r="E261" s="393"/>
      <c r="F261" s="393"/>
      <c r="G261" s="151">
        <v>0</v>
      </c>
      <c r="H261" s="140"/>
      <c r="I261" s="140"/>
      <c r="J261" s="140"/>
      <c r="K261" s="140"/>
      <c r="L261" s="151">
        <v>0</v>
      </c>
      <c r="M261" s="140"/>
      <c r="N261" s="140"/>
      <c r="O261" s="140"/>
      <c r="P261" s="253">
        <v>0</v>
      </c>
      <c r="Q261" s="254"/>
      <c r="R261" s="254"/>
      <c r="S261" s="254"/>
      <c r="T261" s="151">
        <f t="shared" si="167"/>
        <v>0</v>
      </c>
      <c r="U261" s="258">
        <f t="shared" si="175"/>
        <v>0</v>
      </c>
      <c r="V261" s="151">
        <f t="shared" si="167"/>
        <v>0</v>
      </c>
      <c r="W261" s="151">
        <f t="shared" si="167"/>
        <v>0</v>
      </c>
      <c r="X261" s="140"/>
      <c r="Y261" s="140"/>
      <c r="Z261" s="393"/>
    </row>
    <row r="262" spans="1:26">
      <c r="A262" s="314"/>
      <c r="B262" s="23" t="s">
        <v>37</v>
      </c>
      <c r="C262" s="391"/>
      <c r="D262" s="393"/>
      <c r="E262" s="393"/>
      <c r="F262" s="393"/>
      <c r="G262" s="150">
        <v>0</v>
      </c>
      <c r="H262" s="140"/>
      <c r="I262" s="140"/>
      <c r="J262" s="140"/>
      <c r="K262" s="140"/>
      <c r="L262" s="150">
        <v>0</v>
      </c>
      <c r="M262" s="140"/>
      <c r="N262" s="140"/>
      <c r="O262" s="140"/>
      <c r="P262" s="254">
        <v>0</v>
      </c>
      <c r="Q262" s="254"/>
      <c r="R262" s="254"/>
      <c r="S262" s="254"/>
      <c r="T262" s="150">
        <f t="shared" si="167"/>
        <v>0</v>
      </c>
      <c r="U262" s="257">
        <f>I262+M262+Q262</f>
        <v>0</v>
      </c>
      <c r="V262" s="150">
        <f t="shared" si="167"/>
        <v>0</v>
      </c>
      <c r="W262" s="150">
        <f t="shared" si="167"/>
        <v>0</v>
      </c>
      <c r="X262" s="140"/>
      <c r="Y262" s="140"/>
      <c r="Z262" s="393"/>
    </row>
    <row r="263" spans="1:26">
      <c r="A263" s="315"/>
      <c r="B263" s="23" t="s">
        <v>38</v>
      </c>
      <c r="C263" s="392"/>
      <c r="D263" s="394"/>
      <c r="E263" s="394"/>
      <c r="F263" s="394"/>
      <c r="G263" s="150">
        <v>0</v>
      </c>
      <c r="H263" s="140"/>
      <c r="I263" s="140"/>
      <c r="J263" s="140"/>
      <c r="K263" s="140"/>
      <c r="L263" s="150">
        <v>0</v>
      </c>
      <c r="M263" s="140"/>
      <c r="N263" s="140"/>
      <c r="O263" s="140"/>
      <c r="P263" s="254">
        <v>0</v>
      </c>
      <c r="Q263" s="254"/>
      <c r="R263" s="254"/>
      <c r="S263" s="254"/>
      <c r="T263" s="150">
        <f t="shared" si="167"/>
        <v>0</v>
      </c>
      <c r="U263" s="257">
        <f>I263+M263+Q263</f>
        <v>0</v>
      </c>
      <c r="V263" s="150">
        <f t="shared" si="167"/>
        <v>0</v>
      </c>
      <c r="W263" s="150">
        <f t="shared" si="167"/>
        <v>0</v>
      </c>
      <c r="X263" s="140"/>
      <c r="Y263" s="140"/>
      <c r="Z263" s="394"/>
    </row>
    <row r="264" spans="1:26" ht="25.5">
      <c r="A264" s="313" t="s">
        <v>75</v>
      </c>
      <c r="B264" s="16" t="s">
        <v>46</v>
      </c>
      <c r="C264" s="321" t="s">
        <v>43</v>
      </c>
      <c r="D264" s="360" t="s">
        <v>5</v>
      </c>
      <c r="E264" s="328">
        <v>90</v>
      </c>
      <c r="F264" s="325" t="s">
        <v>18</v>
      </c>
      <c r="G264" s="25">
        <f>G265+G267+G269+G273+G274</f>
        <v>485875.1</v>
      </c>
      <c r="H264" s="25">
        <f>H265+H267+H269+H273+H274</f>
        <v>0</v>
      </c>
      <c r="I264" s="26"/>
      <c r="J264" s="26"/>
      <c r="K264" s="26"/>
      <c r="L264" s="25">
        <f>L265+L267+L269+L273+L274</f>
        <v>120890.6</v>
      </c>
      <c r="M264" s="26">
        <v>0</v>
      </c>
      <c r="N264" s="26">
        <v>0</v>
      </c>
      <c r="O264" s="26">
        <v>0</v>
      </c>
      <c r="P264" s="25">
        <f>P265+P267+P269+P273+P274</f>
        <v>364984.5</v>
      </c>
      <c r="Q264" s="26">
        <v>0</v>
      </c>
      <c r="R264" s="26">
        <v>0</v>
      </c>
      <c r="S264" s="26">
        <v>0</v>
      </c>
      <c r="T264" s="25">
        <f>H264+L264+P264</f>
        <v>485875.1</v>
      </c>
      <c r="U264" s="25">
        <f>I264+M264+Q264</f>
        <v>0</v>
      </c>
      <c r="V264" s="25">
        <f t="shared" ref="V264:W265" si="176">J264+N264+R264</f>
        <v>0</v>
      </c>
      <c r="W264" s="25">
        <f t="shared" si="176"/>
        <v>0</v>
      </c>
      <c r="X264" s="26"/>
      <c r="Y264" s="26"/>
      <c r="Z264" s="360"/>
    </row>
    <row r="265" spans="1:26">
      <c r="A265" s="314"/>
      <c r="B265" s="22" t="s">
        <v>127</v>
      </c>
      <c r="C265" s="322"/>
      <c r="D265" s="307"/>
      <c r="E265" s="393"/>
      <c r="F265" s="326"/>
      <c r="G265" s="323">
        <v>485875.1</v>
      </c>
      <c r="H265" s="323"/>
      <c r="I265" s="134"/>
      <c r="J265" s="134"/>
      <c r="K265" s="134"/>
      <c r="L265" s="323">
        <v>120890.6</v>
      </c>
      <c r="M265" s="134"/>
      <c r="N265" s="134"/>
      <c r="O265" s="134"/>
      <c r="P265" s="323">
        <v>364984.5</v>
      </c>
      <c r="Q265" s="245"/>
      <c r="R265" s="245"/>
      <c r="S265" s="245"/>
      <c r="T265" s="323">
        <f>H265+L265+P265</f>
        <v>485875.1</v>
      </c>
      <c r="U265" s="323">
        <f>I265+M265+Q265</f>
        <v>0</v>
      </c>
      <c r="V265" s="323">
        <f t="shared" si="176"/>
        <v>0</v>
      </c>
      <c r="W265" s="323">
        <f t="shared" si="176"/>
        <v>0</v>
      </c>
      <c r="X265" s="323">
        <v>120890.57</v>
      </c>
      <c r="Y265" s="323">
        <v>364984.5</v>
      </c>
      <c r="Z265" s="307"/>
    </row>
    <row r="266" spans="1:26">
      <c r="A266" s="314"/>
      <c r="B266" s="40" t="s">
        <v>27</v>
      </c>
      <c r="C266" s="322"/>
      <c r="D266" s="307"/>
      <c r="E266" s="393"/>
      <c r="F266" s="326"/>
      <c r="G266" s="394"/>
      <c r="H266" s="324"/>
      <c r="I266" s="136"/>
      <c r="J266" s="136"/>
      <c r="K266" s="136"/>
      <c r="L266" s="324"/>
      <c r="M266" s="136"/>
      <c r="N266" s="136"/>
      <c r="O266" s="136"/>
      <c r="P266" s="324"/>
      <c r="Q266" s="247"/>
      <c r="R266" s="247"/>
      <c r="S266" s="247"/>
      <c r="T266" s="324">
        <f t="shared" ref="T266:U266" si="177">H266+L266</f>
        <v>0</v>
      </c>
      <c r="U266" s="324">
        <f t="shared" si="177"/>
        <v>0</v>
      </c>
      <c r="V266" s="324">
        <f t="shared" ref="V266" si="178">J266+N266</f>
        <v>0</v>
      </c>
      <c r="W266" s="324">
        <f t="shared" ref="W266" si="179">K266+O266</f>
        <v>0</v>
      </c>
      <c r="X266" s="324"/>
      <c r="Y266" s="324"/>
      <c r="Z266" s="307"/>
    </row>
    <row r="267" spans="1:26">
      <c r="A267" s="314"/>
      <c r="B267" s="23" t="s">
        <v>29</v>
      </c>
      <c r="C267" s="322"/>
      <c r="D267" s="307"/>
      <c r="E267" s="393"/>
      <c r="F267" s="326"/>
      <c r="G267" s="150">
        <v>0</v>
      </c>
      <c r="H267" s="136"/>
      <c r="I267" s="136"/>
      <c r="J267" s="136"/>
      <c r="K267" s="136"/>
      <c r="L267" s="150">
        <v>0</v>
      </c>
      <c r="M267" s="136"/>
      <c r="N267" s="136"/>
      <c r="O267" s="136"/>
      <c r="P267" s="254">
        <v>0</v>
      </c>
      <c r="Q267" s="247"/>
      <c r="R267" s="247"/>
      <c r="S267" s="247"/>
      <c r="T267" s="150">
        <f>H267+L267</f>
        <v>0</v>
      </c>
      <c r="U267" s="257">
        <f>I267+M267+Q267</f>
        <v>0</v>
      </c>
      <c r="V267" s="150">
        <f>J267+N267</f>
        <v>0</v>
      </c>
      <c r="W267" s="150">
        <f>K267+O267</f>
        <v>0</v>
      </c>
      <c r="X267" s="136"/>
      <c r="Y267" s="136"/>
      <c r="Z267" s="307"/>
    </row>
    <row r="268" spans="1:26">
      <c r="A268" s="314"/>
      <c r="B268" s="44" t="s">
        <v>39</v>
      </c>
      <c r="C268" s="322"/>
      <c r="D268" s="307"/>
      <c r="E268" s="393"/>
      <c r="F268" s="326"/>
      <c r="G268" s="151">
        <v>0</v>
      </c>
      <c r="H268" s="136"/>
      <c r="I268" s="136"/>
      <c r="J268" s="136"/>
      <c r="K268" s="136"/>
      <c r="L268" s="151">
        <v>0</v>
      </c>
      <c r="M268" s="136"/>
      <c r="N268" s="136"/>
      <c r="O268" s="136"/>
      <c r="P268" s="253">
        <v>0</v>
      </c>
      <c r="Q268" s="247"/>
      <c r="R268" s="247"/>
      <c r="S268" s="247"/>
      <c r="T268" s="151">
        <f t="shared" ref="T268:W274" si="180">H268+L268</f>
        <v>0</v>
      </c>
      <c r="U268" s="258">
        <f>I268+M268+Q268</f>
        <v>0</v>
      </c>
      <c r="V268" s="151">
        <f t="shared" si="180"/>
        <v>0</v>
      </c>
      <c r="W268" s="151">
        <f t="shared" si="180"/>
        <v>0</v>
      </c>
      <c r="X268" s="136"/>
      <c r="Y268" s="136"/>
      <c r="Z268" s="307"/>
    </row>
    <row r="269" spans="1:26">
      <c r="A269" s="314"/>
      <c r="B269" s="23" t="s">
        <v>30</v>
      </c>
      <c r="C269" s="322"/>
      <c r="D269" s="307"/>
      <c r="E269" s="393"/>
      <c r="F269" s="326"/>
      <c r="G269" s="150">
        <v>0</v>
      </c>
      <c r="H269" s="136"/>
      <c r="I269" s="136"/>
      <c r="J269" s="136"/>
      <c r="K269" s="136"/>
      <c r="L269" s="150">
        <v>0</v>
      </c>
      <c r="M269" s="136"/>
      <c r="N269" s="136"/>
      <c r="O269" s="136"/>
      <c r="P269" s="254">
        <v>0</v>
      </c>
      <c r="Q269" s="247"/>
      <c r="R269" s="247"/>
      <c r="S269" s="247"/>
      <c r="T269" s="150">
        <f t="shared" si="180"/>
        <v>0</v>
      </c>
      <c r="U269" s="257">
        <f>I269+M269+Q269</f>
        <v>0</v>
      </c>
      <c r="V269" s="150">
        <f t="shared" si="180"/>
        <v>0</v>
      </c>
      <c r="W269" s="150">
        <f t="shared" si="180"/>
        <v>0</v>
      </c>
      <c r="X269" s="136"/>
      <c r="Y269" s="136"/>
      <c r="Z269" s="307"/>
    </row>
    <row r="270" spans="1:26">
      <c r="A270" s="314"/>
      <c r="B270" s="44" t="s">
        <v>41</v>
      </c>
      <c r="C270" s="391"/>
      <c r="D270" s="393"/>
      <c r="E270" s="393"/>
      <c r="F270" s="393"/>
      <c r="G270" s="151">
        <v>0</v>
      </c>
      <c r="H270" s="140"/>
      <c r="I270" s="140"/>
      <c r="J270" s="140"/>
      <c r="K270" s="140"/>
      <c r="L270" s="151">
        <v>0</v>
      </c>
      <c r="M270" s="140"/>
      <c r="N270" s="140"/>
      <c r="O270" s="140"/>
      <c r="P270" s="253">
        <v>0</v>
      </c>
      <c r="Q270" s="254"/>
      <c r="R270" s="254"/>
      <c r="S270" s="254"/>
      <c r="T270" s="151">
        <f t="shared" si="180"/>
        <v>0</v>
      </c>
      <c r="U270" s="258">
        <f>I270+M270+Q270</f>
        <v>0</v>
      </c>
      <c r="V270" s="151">
        <f t="shared" si="180"/>
        <v>0</v>
      </c>
      <c r="W270" s="151">
        <f t="shared" si="180"/>
        <v>0</v>
      </c>
      <c r="X270" s="140"/>
      <c r="Y270" s="140"/>
      <c r="Z270" s="393"/>
    </row>
    <row r="271" spans="1:26">
      <c r="A271" s="314"/>
      <c r="B271" s="41" t="s">
        <v>32</v>
      </c>
      <c r="C271" s="391"/>
      <c r="D271" s="393"/>
      <c r="E271" s="393"/>
      <c r="F271" s="393"/>
      <c r="G271" s="151">
        <v>0</v>
      </c>
      <c r="H271" s="140"/>
      <c r="I271" s="140"/>
      <c r="J271" s="140"/>
      <c r="K271" s="140"/>
      <c r="L271" s="151">
        <v>0</v>
      </c>
      <c r="M271" s="140"/>
      <c r="N271" s="140"/>
      <c r="O271" s="140"/>
      <c r="P271" s="253">
        <v>0</v>
      </c>
      <c r="Q271" s="254"/>
      <c r="R271" s="254"/>
      <c r="S271" s="254"/>
      <c r="T271" s="151">
        <f t="shared" si="180"/>
        <v>0</v>
      </c>
      <c r="U271" s="258">
        <f t="shared" ref="U271:U272" si="181">I271+M271+Q271</f>
        <v>0</v>
      </c>
      <c r="V271" s="151">
        <f t="shared" si="180"/>
        <v>0</v>
      </c>
      <c r="W271" s="151">
        <f t="shared" si="180"/>
        <v>0</v>
      </c>
      <c r="X271" s="140"/>
      <c r="Y271" s="140"/>
      <c r="Z271" s="393"/>
    </row>
    <row r="272" spans="1:26">
      <c r="A272" s="314"/>
      <c r="B272" s="41" t="s">
        <v>33</v>
      </c>
      <c r="C272" s="391"/>
      <c r="D272" s="393"/>
      <c r="E272" s="393"/>
      <c r="F272" s="393"/>
      <c r="G272" s="151">
        <v>0</v>
      </c>
      <c r="H272" s="140"/>
      <c r="I272" s="140"/>
      <c r="J272" s="140"/>
      <c r="K272" s="140"/>
      <c r="L272" s="151">
        <v>0</v>
      </c>
      <c r="M272" s="140"/>
      <c r="N272" s="140"/>
      <c r="O272" s="140"/>
      <c r="P272" s="253">
        <v>0</v>
      </c>
      <c r="Q272" s="254"/>
      <c r="R272" s="254"/>
      <c r="S272" s="254"/>
      <c r="T272" s="151">
        <f t="shared" si="180"/>
        <v>0</v>
      </c>
      <c r="U272" s="258">
        <f t="shared" si="181"/>
        <v>0</v>
      </c>
      <c r="V272" s="151">
        <f t="shared" si="180"/>
        <v>0</v>
      </c>
      <c r="W272" s="151">
        <f t="shared" si="180"/>
        <v>0</v>
      </c>
      <c r="X272" s="140"/>
      <c r="Y272" s="140"/>
      <c r="Z272" s="393"/>
    </row>
    <row r="273" spans="1:26">
      <c r="A273" s="314"/>
      <c r="B273" s="23" t="s">
        <v>37</v>
      </c>
      <c r="C273" s="391"/>
      <c r="D273" s="393"/>
      <c r="E273" s="393"/>
      <c r="F273" s="393"/>
      <c r="G273" s="150">
        <v>0</v>
      </c>
      <c r="H273" s="140"/>
      <c r="I273" s="140"/>
      <c r="J273" s="140"/>
      <c r="K273" s="140"/>
      <c r="L273" s="150">
        <v>0</v>
      </c>
      <c r="M273" s="140"/>
      <c r="N273" s="140"/>
      <c r="O273" s="140"/>
      <c r="P273" s="254">
        <v>0</v>
      </c>
      <c r="Q273" s="254"/>
      <c r="R273" s="254"/>
      <c r="S273" s="254"/>
      <c r="T273" s="150">
        <f t="shared" si="180"/>
        <v>0</v>
      </c>
      <c r="U273" s="257">
        <f>I273+M273+Q273</f>
        <v>0</v>
      </c>
      <c r="V273" s="150">
        <f t="shared" si="180"/>
        <v>0</v>
      </c>
      <c r="W273" s="150">
        <f t="shared" si="180"/>
        <v>0</v>
      </c>
      <c r="X273" s="140"/>
      <c r="Y273" s="140"/>
      <c r="Z273" s="393"/>
    </row>
    <row r="274" spans="1:26">
      <c r="A274" s="314"/>
      <c r="B274" s="23" t="s">
        <v>38</v>
      </c>
      <c r="C274" s="392"/>
      <c r="D274" s="394"/>
      <c r="E274" s="394"/>
      <c r="F274" s="394"/>
      <c r="G274" s="150">
        <v>0</v>
      </c>
      <c r="H274" s="140"/>
      <c r="I274" s="140"/>
      <c r="J274" s="140"/>
      <c r="K274" s="140"/>
      <c r="L274" s="150">
        <v>0</v>
      </c>
      <c r="M274" s="140"/>
      <c r="N274" s="140"/>
      <c r="O274" s="140"/>
      <c r="P274" s="254">
        <v>0</v>
      </c>
      <c r="Q274" s="254"/>
      <c r="R274" s="254"/>
      <c r="S274" s="254"/>
      <c r="T274" s="150">
        <f t="shared" si="180"/>
        <v>0</v>
      </c>
      <c r="U274" s="257">
        <f>I274+M274+Q274</f>
        <v>0</v>
      </c>
      <c r="V274" s="150">
        <f t="shared" si="180"/>
        <v>0</v>
      </c>
      <c r="W274" s="150">
        <f t="shared" si="180"/>
        <v>0</v>
      </c>
      <c r="X274" s="140"/>
      <c r="Y274" s="140"/>
      <c r="Z274" s="394"/>
    </row>
    <row r="275" spans="1:26" ht="18" hidden="1" customHeight="1">
      <c r="A275" s="313" t="s">
        <v>91</v>
      </c>
      <c r="B275" s="16"/>
      <c r="C275" s="321" t="s">
        <v>43</v>
      </c>
      <c r="D275" s="304" t="s">
        <v>6</v>
      </c>
      <c r="E275" s="328">
        <v>60</v>
      </c>
      <c r="F275" s="325" t="s">
        <v>18</v>
      </c>
      <c r="G275" s="25">
        <f>G276+G278+G280+G284+G285</f>
        <v>0</v>
      </c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360"/>
    </row>
    <row r="276" spans="1:26" ht="12.75" hidden="1" customHeight="1">
      <c r="A276" s="314"/>
      <c r="B276" s="22" t="s">
        <v>28</v>
      </c>
      <c r="C276" s="322"/>
      <c r="D276" s="307"/>
      <c r="E276" s="393"/>
      <c r="F276" s="326"/>
      <c r="G276" s="323">
        <f>SUM(H276:Y276)</f>
        <v>0</v>
      </c>
      <c r="H276" s="323"/>
      <c r="I276" s="134"/>
      <c r="J276" s="134"/>
      <c r="K276" s="134"/>
      <c r="L276" s="134"/>
      <c r="M276" s="134"/>
      <c r="N276" s="134"/>
      <c r="O276" s="134"/>
      <c r="P276" s="245"/>
      <c r="Q276" s="245"/>
      <c r="R276" s="245"/>
      <c r="S276" s="245"/>
      <c r="T276" s="134"/>
      <c r="U276" s="143"/>
      <c r="V276" s="143"/>
      <c r="W276" s="143"/>
      <c r="X276" s="323"/>
      <c r="Y276" s="323"/>
      <c r="Z276" s="307"/>
    </row>
    <row r="277" spans="1:26" ht="12.75" hidden="1" customHeight="1">
      <c r="A277" s="314"/>
      <c r="B277" s="40" t="s">
        <v>27</v>
      </c>
      <c r="C277" s="322"/>
      <c r="D277" s="307"/>
      <c r="E277" s="393"/>
      <c r="F277" s="326"/>
      <c r="G277" s="394"/>
      <c r="H277" s="324"/>
      <c r="I277" s="136"/>
      <c r="J277" s="136"/>
      <c r="K277" s="136"/>
      <c r="L277" s="136"/>
      <c r="M277" s="136"/>
      <c r="N277" s="136"/>
      <c r="O277" s="136"/>
      <c r="P277" s="247"/>
      <c r="Q277" s="247"/>
      <c r="R277" s="247"/>
      <c r="S277" s="247"/>
      <c r="T277" s="136"/>
      <c r="U277" s="144"/>
      <c r="V277" s="144"/>
      <c r="W277" s="144"/>
      <c r="X277" s="324"/>
      <c r="Y277" s="324"/>
      <c r="Z277" s="307"/>
    </row>
    <row r="278" spans="1:26" ht="12.75" hidden="1" customHeight="1">
      <c r="A278" s="314"/>
      <c r="B278" s="23" t="s">
        <v>29</v>
      </c>
      <c r="C278" s="322"/>
      <c r="D278" s="307"/>
      <c r="E278" s="393"/>
      <c r="F278" s="326"/>
      <c r="G278" s="140">
        <f>SUM(G279)</f>
        <v>0</v>
      </c>
      <c r="H278" s="136"/>
      <c r="I278" s="136"/>
      <c r="J278" s="136"/>
      <c r="K278" s="136"/>
      <c r="L278" s="136"/>
      <c r="M278" s="136"/>
      <c r="N278" s="136"/>
      <c r="O278" s="136"/>
      <c r="P278" s="247"/>
      <c r="Q278" s="247"/>
      <c r="R278" s="247"/>
      <c r="S278" s="247"/>
      <c r="T278" s="136"/>
      <c r="U278" s="144"/>
      <c r="V278" s="144"/>
      <c r="W278" s="144"/>
      <c r="X278" s="136"/>
      <c r="Y278" s="136"/>
      <c r="Z278" s="307"/>
    </row>
    <row r="279" spans="1:26" ht="12.75" hidden="1" customHeight="1">
      <c r="A279" s="314"/>
      <c r="B279" s="44" t="s">
        <v>39</v>
      </c>
      <c r="C279" s="322"/>
      <c r="D279" s="307"/>
      <c r="E279" s="393"/>
      <c r="F279" s="326"/>
      <c r="G279" s="139">
        <f>SUM(H279:Y279)</f>
        <v>0</v>
      </c>
      <c r="H279" s="136"/>
      <c r="I279" s="136"/>
      <c r="J279" s="136"/>
      <c r="K279" s="136"/>
      <c r="L279" s="136"/>
      <c r="M279" s="136"/>
      <c r="N279" s="136"/>
      <c r="O279" s="136"/>
      <c r="P279" s="247"/>
      <c r="Q279" s="247"/>
      <c r="R279" s="247"/>
      <c r="S279" s="247"/>
      <c r="T279" s="136"/>
      <c r="U279" s="144"/>
      <c r="V279" s="144"/>
      <c r="W279" s="144"/>
      <c r="X279" s="136"/>
      <c r="Y279" s="136"/>
      <c r="Z279" s="307"/>
    </row>
    <row r="280" spans="1:26" ht="12.75" hidden="1" customHeight="1">
      <c r="A280" s="314"/>
      <c r="B280" s="23" t="s">
        <v>30</v>
      </c>
      <c r="C280" s="322"/>
      <c r="D280" s="307"/>
      <c r="E280" s="393"/>
      <c r="F280" s="326"/>
      <c r="G280" s="140">
        <f>SUM(G281:G283)</f>
        <v>0</v>
      </c>
      <c r="H280" s="136"/>
      <c r="I280" s="136"/>
      <c r="J280" s="136"/>
      <c r="K280" s="136"/>
      <c r="L280" s="136"/>
      <c r="M280" s="136"/>
      <c r="N280" s="136"/>
      <c r="O280" s="136"/>
      <c r="P280" s="247"/>
      <c r="Q280" s="247"/>
      <c r="R280" s="247"/>
      <c r="S280" s="247"/>
      <c r="T280" s="136"/>
      <c r="U280" s="144"/>
      <c r="V280" s="144"/>
      <c r="W280" s="144"/>
      <c r="X280" s="136"/>
      <c r="Y280" s="136"/>
      <c r="Z280" s="307"/>
    </row>
    <row r="281" spans="1:26" ht="12.75" hidden="1" customHeight="1">
      <c r="A281" s="314"/>
      <c r="B281" s="44" t="s">
        <v>41</v>
      </c>
      <c r="C281" s="391"/>
      <c r="D281" s="393"/>
      <c r="E281" s="393"/>
      <c r="F281" s="393"/>
      <c r="G281" s="139">
        <f>SUM(H281:Y281)</f>
        <v>0</v>
      </c>
      <c r="H281" s="140"/>
      <c r="I281" s="140"/>
      <c r="J281" s="140"/>
      <c r="K281" s="140"/>
      <c r="L281" s="140"/>
      <c r="M281" s="140"/>
      <c r="N281" s="140"/>
      <c r="O281" s="140"/>
      <c r="P281" s="254"/>
      <c r="Q281" s="254"/>
      <c r="R281" s="254"/>
      <c r="S281" s="254"/>
      <c r="T281" s="140"/>
      <c r="U281" s="150"/>
      <c r="V281" s="150"/>
      <c r="W281" s="150"/>
      <c r="X281" s="140"/>
      <c r="Y281" s="140"/>
      <c r="Z281" s="393"/>
    </row>
    <row r="282" spans="1:26" ht="12.75" hidden="1" customHeight="1">
      <c r="A282" s="314"/>
      <c r="B282" s="41" t="s">
        <v>32</v>
      </c>
      <c r="C282" s="391"/>
      <c r="D282" s="393"/>
      <c r="E282" s="393"/>
      <c r="F282" s="393"/>
      <c r="G282" s="139">
        <f>SUM(H282:Y282)</f>
        <v>0</v>
      </c>
      <c r="H282" s="140"/>
      <c r="I282" s="140"/>
      <c r="J282" s="140"/>
      <c r="K282" s="140"/>
      <c r="L282" s="140"/>
      <c r="M282" s="140"/>
      <c r="N282" s="140"/>
      <c r="O282" s="140"/>
      <c r="P282" s="254"/>
      <c r="Q282" s="254"/>
      <c r="R282" s="254"/>
      <c r="S282" s="254"/>
      <c r="T282" s="140"/>
      <c r="U282" s="150"/>
      <c r="V282" s="150"/>
      <c r="W282" s="150"/>
      <c r="X282" s="140"/>
      <c r="Y282" s="140"/>
      <c r="Z282" s="393"/>
    </row>
    <row r="283" spans="1:26" ht="12.75" hidden="1" customHeight="1">
      <c r="A283" s="314"/>
      <c r="B283" s="41" t="s">
        <v>33</v>
      </c>
      <c r="C283" s="391"/>
      <c r="D283" s="393"/>
      <c r="E283" s="393"/>
      <c r="F283" s="393"/>
      <c r="G283" s="139">
        <f>SUM(H283:Y283)</f>
        <v>0</v>
      </c>
      <c r="H283" s="140"/>
      <c r="I283" s="140"/>
      <c r="J283" s="140"/>
      <c r="K283" s="140"/>
      <c r="L283" s="140"/>
      <c r="M283" s="140"/>
      <c r="N283" s="140"/>
      <c r="O283" s="140"/>
      <c r="P283" s="254"/>
      <c r="Q283" s="254"/>
      <c r="R283" s="254"/>
      <c r="S283" s="254"/>
      <c r="T283" s="140"/>
      <c r="U283" s="150"/>
      <c r="V283" s="150"/>
      <c r="W283" s="150"/>
      <c r="X283" s="140"/>
      <c r="Y283" s="140"/>
      <c r="Z283" s="393"/>
    </row>
    <row r="284" spans="1:26" ht="12.75" hidden="1" customHeight="1">
      <c r="A284" s="314"/>
      <c r="B284" s="23" t="s">
        <v>37</v>
      </c>
      <c r="C284" s="391"/>
      <c r="D284" s="393"/>
      <c r="E284" s="393"/>
      <c r="F284" s="393"/>
      <c r="G284" s="140">
        <f>SUM(H284:Y284)</f>
        <v>0</v>
      </c>
      <c r="H284" s="140"/>
      <c r="I284" s="140"/>
      <c r="J284" s="140"/>
      <c r="K284" s="140"/>
      <c r="L284" s="140"/>
      <c r="M284" s="140"/>
      <c r="N284" s="140"/>
      <c r="O284" s="140"/>
      <c r="P284" s="254"/>
      <c r="Q284" s="254"/>
      <c r="R284" s="254"/>
      <c r="S284" s="254"/>
      <c r="T284" s="140"/>
      <c r="U284" s="150"/>
      <c r="V284" s="150"/>
      <c r="W284" s="150"/>
      <c r="X284" s="140"/>
      <c r="Y284" s="140"/>
      <c r="Z284" s="393"/>
    </row>
    <row r="285" spans="1:26" ht="12.75" hidden="1" customHeight="1">
      <c r="A285" s="314"/>
      <c r="B285" s="23" t="s">
        <v>38</v>
      </c>
      <c r="C285" s="392"/>
      <c r="D285" s="394"/>
      <c r="E285" s="394"/>
      <c r="F285" s="394"/>
      <c r="G285" s="140">
        <f>SUM(H285:Y285)</f>
        <v>0</v>
      </c>
      <c r="H285" s="140"/>
      <c r="I285" s="140"/>
      <c r="J285" s="140"/>
      <c r="K285" s="140"/>
      <c r="L285" s="140"/>
      <c r="M285" s="140"/>
      <c r="N285" s="140"/>
      <c r="O285" s="140"/>
      <c r="P285" s="254"/>
      <c r="Q285" s="254"/>
      <c r="R285" s="254"/>
      <c r="S285" s="254"/>
      <c r="T285" s="140"/>
      <c r="U285" s="150"/>
      <c r="V285" s="150"/>
      <c r="W285" s="150"/>
      <c r="X285" s="140"/>
      <c r="Y285" s="140"/>
      <c r="Z285" s="394"/>
    </row>
    <row r="286" spans="1:26" ht="36.75" customHeight="1">
      <c r="A286" s="313" t="s">
        <v>76</v>
      </c>
      <c r="B286" s="16" t="s">
        <v>146</v>
      </c>
      <c r="C286" s="321" t="s">
        <v>43</v>
      </c>
      <c r="D286" s="304" t="s">
        <v>7</v>
      </c>
      <c r="E286" s="328">
        <v>14.5</v>
      </c>
      <c r="F286" s="325" t="s">
        <v>17</v>
      </c>
      <c r="G286" s="25">
        <f>G287+G291+G293+G297+G298</f>
        <v>18317.900000000001</v>
      </c>
      <c r="H286" s="25">
        <f>H287+H291+H293+H297+H298</f>
        <v>0</v>
      </c>
      <c r="I286" s="26"/>
      <c r="J286" s="26"/>
      <c r="K286" s="26"/>
      <c r="L286" s="25">
        <f t="shared" ref="L286:S286" si="182">L287+L291+L293+L297+L298</f>
        <v>18317.900000000001</v>
      </c>
      <c r="M286" s="25">
        <f t="shared" si="182"/>
        <v>291.62599999999998</v>
      </c>
      <c r="N286" s="25">
        <f t="shared" si="182"/>
        <v>291.62599999999998</v>
      </c>
      <c r="O286" s="25">
        <f t="shared" si="182"/>
        <v>291.62599999999998</v>
      </c>
      <c r="P286" s="25">
        <f t="shared" si="182"/>
        <v>0</v>
      </c>
      <c r="Q286" s="25">
        <f t="shared" si="182"/>
        <v>0</v>
      </c>
      <c r="R286" s="25">
        <f t="shared" si="182"/>
        <v>0</v>
      </c>
      <c r="S286" s="25">
        <f t="shared" si="182"/>
        <v>0</v>
      </c>
      <c r="T286" s="25">
        <f>H286+L286</f>
        <v>18317.900000000001</v>
      </c>
      <c r="U286" s="25">
        <f>I286+M286+Q286</f>
        <v>291.62599999999998</v>
      </c>
      <c r="V286" s="25">
        <f t="shared" ref="V286:W287" si="183">J286+N286+R286</f>
        <v>291.62599999999998</v>
      </c>
      <c r="W286" s="25">
        <f t="shared" si="183"/>
        <v>291.62599999999998</v>
      </c>
      <c r="X286" s="26"/>
      <c r="Y286" s="26"/>
      <c r="Z286" s="360"/>
    </row>
    <row r="287" spans="1:26">
      <c r="A287" s="314"/>
      <c r="B287" s="22" t="s">
        <v>127</v>
      </c>
      <c r="C287" s="322"/>
      <c r="D287" s="307"/>
      <c r="E287" s="393"/>
      <c r="F287" s="326"/>
      <c r="G287" s="323">
        <v>18317.900000000001</v>
      </c>
      <c r="H287" s="323"/>
      <c r="I287" s="134"/>
      <c r="J287" s="134"/>
      <c r="K287" s="134"/>
      <c r="L287" s="323">
        <v>18317.900000000001</v>
      </c>
      <c r="M287" s="323">
        <f>SUM(M289:M290)</f>
        <v>291.62599999999998</v>
      </c>
      <c r="N287" s="323">
        <f t="shared" ref="N287:O287" si="184">SUM(N289:N290)</f>
        <v>291.62599999999998</v>
      </c>
      <c r="O287" s="323">
        <f t="shared" si="184"/>
        <v>291.62599999999998</v>
      </c>
      <c r="P287" s="323">
        <v>0</v>
      </c>
      <c r="Q287" s="323">
        <f>SUM(Q289:Q290)</f>
        <v>0</v>
      </c>
      <c r="R287" s="323">
        <f t="shared" ref="R287:S287" si="185">SUM(R289:R290)</f>
        <v>0</v>
      </c>
      <c r="S287" s="323">
        <f t="shared" si="185"/>
        <v>0</v>
      </c>
      <c r="T287" s="323">
        <f t="shared" ref="T287:U288" si="186">H287+L287</f>
        <v>18317.900000000001</v>
      </c>
      <c r="U287" s="323">
        <f>I287+M287+Q287</f>
        <v>291.62599999999998</v>
      </c>
      <c r="V287" s="323">
        <f t="shared" si="183"/>
        <v>291.62599999999998</v>
      </c>
      <c r="W287" s="323">
        <f t="shared" si="183"/>
        <v>291.62599999999998</v>
      </c>
      <c r="X287" s="323">
        <v>18317.900000000001</v>
      </c>
      <c r="Y287" s="323"/>
      <c r="Z287" s="307"/>
    </row>
    <row r="288" spans="1:26">
      <c r="A288" s="314"/>
      <c r="B288" s="40" t="s">
        <v>27</v>
      </c>
      <c r="C288" s="322"/>
      <c r="D288" s="307"/>
      <c r="E288" s="393"/>
      <c r="F288" s="326"/>
      <c r="G288" s="394"/>
      <c r="H288" s="324"/>
      <c r="I288" s="136"/>
      <c r="J288" s="136"/>
      <c r="K288" s="136"/>
      <c r="L288" s="324"/>
      <c r="M288" s="324"/>
      <c r="N288" s="324"/>
      <c r="O288" s="324"/>
      <c r="P288" s="324"/>
      <c r="Q288" s="324"/>
      <c r="R288" s="324"/>
      <c r="S288" s="324"/>
      <c r="T288" s="324">
        <f t="shared" si="186"/>
        <v>0</v>
      </c>
      <c r="U288" s="324">
        <f t="shared" si="186"/>
        <v>0</v>
      </c>
      <c r="V288" s="324">
        <f t="shared" ref="V288" si="187">J288+N288</f>
        <v>0</v>
      </c>
      <c r="W288" s="324">
        <f t="shared" ref="W288" si="188">K288+O288</f>
        <v>0</v>
      </c>
      <c r="X288" s="324"/>
      <c r="Y288" s="324"/>
      <c r="Z288" s="307"/>
    </row>
    <row r="289" spans="1:26" s="169" customFormat="1" ht="13.5" hidden="1">
      <c r="A289" s="314"/>
      <c r="B289" s="115" t="s">
        <v>217</v>
      </c>
      <c r="C289" s="322"/>
      <c r="D289" s="307"/>
      <c r="E289" s="393"/>
      <c r="F289" s="326"/>
      <c r="G289" s="168"/>
      <c r="H289" s="118"/>
      <c r="I289" s="118"/>
      <c r="J289" s="118"/>
      <c r="K289" s="118"/>
      <c r="L289" s="118"/>
      <c r="M289" s="117">
        <f>115.456+23.6</f>
        <v>139.05600000000001</v>
      </c>
      <c r="N289" s="117">
        <f>34.637+80.819+7.08+16.52</f>
        <v>139.05600000000001</v>
      </c>
      <c r="O289" s="117">
        <f>34.637+80.819+7.08+16.52</f>
        <v>139.05600000000001</v>
      </c>
      <c r="P289" s="118"/>
      <c r="Q289" s="117"/>
      <c r="R289" s="117"/>
      <c r="S289" s="117"/>
      <c r="T289" s="118"/>
      <c r="U289" s="118">
        <f>I289+M289+Q289</f>
        <v>139.05600000000001</v>
      </c>
      <c r="V289" s="118"/>
      <c r="W289" s="118"/>
      <c r="X289" s="118"/>
      <c r="Y289" s="118"/>
      <c r="Z289" s="307"/>
    </row>
    <row r="290" spans="1:26" s="169" customFormat="1" ht="13.5" hidden="1">
      <c r="A290" s="314"/>
      <c r="B290" s="115" t="s">
        <v>227</v>
      </c>
      <c r="C290" s="322"/>
      <c r="D290" s="307"/>
      <c r="E290" s="393"/>
      <c r="F290" s="326"/>
      <c r="G290" s="168"/>
      <c r="H290" s="118"/>
      <c r="I290" s="118"/>
      <c r="J290" s="118"/>
      <c r="K290" s="118"/>
      <c r="L290" s="118"/>
      <c r="M290" s="117">
        <v>152.57</v>
      </c>
      <c r="N290" s="117">
        <f>45.771+30.514+76.285</f>
        <v>152.57</v>
      </c>
      <c r="O290" s="117">
        <f>45.771+30.514+76.285</f>
        <v>152.57</v>
      </c>
      <c r="P290" s="118"/>
      <c r="Q290" s="117"/>
      <c r="R290" s="117"/>
      <c r="S290" s="117"/>
      <c r="T290" s="118"/>
      <c r="U290" s="118">
        <f t="shared" ref="U290" si="189">I290+M290+Q290</f>
        <v>152.57</v>
      </c>
      <c r="V290" s="118"/>
      <c r="W290" s="118"/>
      <c r="X290" s="118"/>
      <c r="Y290" s="118"/>
      <c r="Z290" s="307"/>
    </row>
    <row r="291" spans="1:26">
      <c r="A291" s="314"/>
      <c r="B291" s="23" t="s">
        <v>29</v>
      </c>
      <c r="C291" s="322"/>
      <c r="D291" s="307"/>
      <c r="E291" s="393"/>
      <c r="F291" s="326"/>
      <c r="G291" s="150">
        <v>0</v>
      </c>
      <c r="H291" s="136"/>
      <c r="I291" s="136"/>
      <c r="J291" s="136"/>
      <c r="K291" s="136"/>
      <c r="L291" s="150">
        <v>0</v>
      </c>
      <c r="M291" s="136"/>
      <c r="N291" s="136"/>
      <c r="O291" s="136"/>
      <c r="P291" s="254">
        <v>0</v>
      </c>
      <c r="Q291" s="247"/>
      <c r="R291" s="247"/>
      <c r="S291" s="247"/>
      <c r="T291" s="150">
        <f>H291+L291</f>
        <v>0</v>
      </c>
      <c r="U291" s="257">
        <f>I291+M291+Q291</f>
        <v>0</v>
      </c>
      <c r="V291" s="150">
        <f>J291+N291</f>
        <v>0</v>
      </c>
      <c r="W291" s="150">
        <f>K291+O291</f>
        <v>0</v>
      </c>
      <c r="X291" s="136"/>
      <c r="Y291" s="136"/>
      <c r="Z291" s="307"/>
    </row>
    <row r="292" spans="1:26">
      <c r="A292" s="314"/>
      <c r="B292" s="44" t="s">
        <v>39</v>
      </c>
      <c r="C292" s="322"/>
      <c r="D292" s="307"/>
      <c r="E292" s="393"/>
      <c r="F292" s="326"/>
      <c r="G292" s="151">
        <v>0</v>
      </c>
      <c r="H292" s="136"/>
      <c r="I292" s="136"/>
      <c r="J292" s="136"/>
      <c r="K292" s="136"/>
      <c r="L292" s="151">
        <v>0</v>
      </c>
      <c r="M292" s="136"/>
      <c r="N292" s="136"/>
      <c r="O292" s="136"/>
      <c r="P292" s="253">
        <v>0</v>
      </c>
      <c r="Q292" s="247"/>
      <c r="R292" s="247"/>
      <c r="S292" s="247"/>
      <c r="T292" s="151">
        <f t="shared" ref="T292:W298" si="190">H292+L292</f>
        <v>0</v>
      </c>
      <c r="U292" s="258">
        <f>I292+M292+Q292</f>
        <v>0</v>
      </c>
      <c r="V292" s="151">
        <f t="shared" si="190"/>
        <v>0</v>
      </c>
      <c r="W292" s="151">
        <f t="shared" si="190"/>
        <v>0</v>
      </c>
      <c r="X292" s="136"/>
      <c r="Y292" s="136"/>
      <c r="Z292" s="307"/>
    </row>
    <row r="293" spans="1:26">
      <c r="A293" s="314"/>
      <c r="B293" s="23" t="s">
        <v>30</v>
      </c>
      <c r="C293" s="322"/>
      <c r="D293" s="307"/>
      <c r="E293" s="393"/>
      <c r="F293" s="326"/>
      <c r="G293" s="150">
        <v>0</v>
      </c>
      <c r="H293" s="136"/>
      <c r="I293" s="136"/>
      <c r="J293" s="136"/>
      <c r="K293" s="136"/>
      <c r="L293" s="150">
        <v>0</v>
      </c>
      <c r="M293" s="136"/>
      <c r="N293" s="136"/>
      <c r="O293" s="136"/>
      <c r="P293" s="254">
        <v>0</v>
      </c>
      <c r="Q293" s="247"/>
      <c r="R293" s="247"/>
      <c r="S293" s="247"/>
      <c r="T293" s="150">
        <f t="shared" si="190"/>
        <v>0</v>
      </c>
      <c r="U293" s="257">
        <f>I293+M293+Q293</f>
        <v>0</v>
      </c>
      <c r="V293" s="150">
        <f t="shared" si="190"/>
        <v>0</v>
      </c>
      <c r="W293" s="150">
        <f t="shared" si="190"/>
        <v>0</v>
      </c>
      <c r="X293" s="136"/>
      <c r="Y293" s="136"/>
      <c r="Z293" s="307"/>
    </row>
    <row r="294" spans="1:26">
      <c r="A294" s="314"/>
      <c r="B294" s="44" t="s">
        <v>41</v>
      </c>
      <c r="C294" s="391"/>
      <c r="D294" s="393"/>
      <c r="E294" s="393"/>
      <c r="F294" s="393"/>
      <c r="G294" s="151">
        <v>0</v>
      </c>
      <c r="H294" s="140"/>
      <c r="I294" s="140"/>
      <c r="J294" s="140"/>
      <c r="K294" s="140"/>
      <c r="L294" s="151">
        <v>0</v>
      </c>
      <c r="M294" s="140"/>
      <c r="N294" s="140"/>
      <c r="O294" s="140"/>
      <c r="P294" s="253">
        <v>0</v>
      </c>
      <c r="Q294" s="254"/>
      <c r="R294" s="254"/>
      <c r="S294" s="254"/>
      <c r="T294" s="151">
        <f t="shared" si="190"/>
        <v>0</v>
      </c>
      <c r="U294" s="258">
        <f>I294+M294+Q294</f>
        <v>0</v>
      </c>
      <c r="V294" s="151">
        <f t="shared" si="190"/>
        <v>0</v>
      </c>
      <c r="W294" s="151">
        <f t="shared" si="190"/>
        <v>0</v>
      </c>
      <c r="X294" s="140"/>
      <c r="Y294" s="140"/>
      <c r="Z294" s="393"/>
    </row>
    <row r="295" spans="1:26">
      <c r="A295" s="314"/>
      <c r="B295" s="41" t="s">
        <v>32</v>
      </c>
      <c r="C295" s="391"/>
      <c r="D295" s="393"/>
      <c r="E295" s="393"/>
      <c r="F295" s="393"/>
      <c r="G295" s="151">
        <v>0</v>
      </c>
      <c r="H295" s="140"/>
      <c r="I295" s="140"/>
      <c r="J295" s="140"/>
      <c r="K295" s="140"/>
      <c r="L295" s="151">
        <v>0</v>
      </c>
      <c r="M295" s="140"/>
      <c r="N295" s="140"/>
      <c r="O295" s="140"/>
      <c r="P295" s="253">
        <v>0</v>
      </c>
      <c r="Q295" s="254"/>
      <c r="R295" s="254"/>
      <c r="S295" s="254"/>
      <c r="T295" s="151">
        <f t="shared" si="190"/>
        <v>0</v>
      </c>
      <c r="U295" s="258">
        <f t="shared" ref="U295:U296" si="191">I295+M295+Q295</f>
        <v>0</v>
      </c>
      <c r="V295" s="151">
        <f t="shared" si="190"/>
        <v>0</v>
      </c>
      <c r="W295" s="151">
        <f t="shared" si="190"/>
        <v>0</v>
      </c>
      <c r="X295" s="140"/>
      <c r="Y295" s="140"/>
      <c r="Z295" s="393"/>
    </row>
    <row r="296" spans="1:26">
      <c r="A296" s="314"/>
      <c r="B296" s="41" t="s">
        <v>33</v>
      </c>
      <c r="C296" s="391"/>
      <c r="D296" s="393"/>
      <c r="E296" s="393"/>
      <c r="F296" s="393"/>
      <c r="G296" s="151">
        <v>0</v>
      </c>
      <c r="H296" s="140"/>
      <c r="I296" s="140"/>
      <c r="J296" s="140"/>
      <c r="K296" s="140"/>
      <c r="L296" s="151">
        <v>0</v>
      </c>
      <c r="M296" s="140"/>
      <c r="N296" s="140"/>
      <c r="O296" s="140"/>
      <c r="P296" s="253">
        <v>0</v>
      </c>
      <c r="Q296" s="254"/>
      <c r="R296" s="254"/>
      <c r="S296" s="254"/>
      <c r="T296" s="151">
        <f t="shared" si="190"/>
        <v>0</v>
      </c>
      <c r="U296" s="258">
        <f t="shared" si="191"/>
        <v>0</v>
      </c>
      <c r="V296" s="151">
        <f t="shared" si="190"/>
        <v>0</v>
      </c>
      <c r="W296" s="151">
        <f t="shared" si="190"/>
        <v>0</v>
      </c>
      <c r="X296" s="140"/>
      <c r="Y296" s="140"/>
      <c r="Z296" s="393"/>
    </row>
    <row r="297" spans="1:26">
      <c r="A297" s="314"/>
      <c r="B297" s="23" t="s">
        <v>37</v>
      </c>
      <c r="C297" s="391"/>
      <c r="D297" s="393"/>
      <c r="E297" s="393"/>
      <c r="F297" s="393"/>
      <c r="G297" s="150">
        <v>0</v>
      </c>
      <c r="H297" s="140"/>
      <c r="I297" s="140"/>
      <c r="J297" s="140"/>
      <c r="K297" s="140"/>
      <c r="L297" s="150">
        <v>0</v>
      </c>
      <c r="M297" s="140"/>
      <c r="N297" s="140"/>
      <c r="O297" s="140"/>
      <c r="P297" s="254">
        <v>0</v>
      </c>
      <c r="Q297" s="254"/>
      <c r="R297" s="254"/>
      <c r="S297" s="254"/>
      <c r="T297" s="150">
        <f t="shared" si="190"/>
        <v>0</v>
      </c>
      <c r="U297" s="257">
        <f>I297+M297+Q297</f>
        <v>0</v>
      </c>
      <c r="V297" s="150">
        <f t="shared" si="190"/>
        <v>0</v>
      </c>
      <c r="W297" s="150">
        <f t="shared" si="190"/>
        <v>0</v>
      </c>
      <c r="X297" s="140"/>
      <c r="Y297" s="140"/>
      <c r="Z297" s="393"/>
    </row>
    <row r="298" spans="1:26">
      <c r="A298" s="314"/>
      <c r="B298" s="23" t="s">
        <v>38</v>
      </c>
      <c r="C298" s="392"/>
      <c r="D298" s="394"/>
      <c r="E298" s="394"/>
      <c r="F298" s="394"/>
      <c r="G298" s="150">
        <v>0</v>
      </c>
      <c r="H298" s="140"/>
      <c r="I298" s="140"/>
      <c r="J298" s="140"/>
      <c r="K298" s="140"/>
      <c r="L298" s="150">
        <v>0</v>
      </c>
      <c r="M298" s="140"/>
      <c r="N298" s="140"/>
      <c r="O298" s="140"/>
      <c r="P298" s="254">
        <v>0</v>
      </c>
      <c r="Q298" s="254"/>
      <c r="R298" s="254"/>
      <c r="S298" s="254"/>
      <c r="T298" s="150">
        <f t="shared" si="190"/>
        <v>0</v>
      </c>
      <c r="U298" s="257">
        <f>I298+M298+Q298</f>
        <v>0</v>
      </c>
      <c r="V298" s="150">
        <f t="shared" si="190"/>
        <v>0</v>
      </c>
      <c r="W298" s="150">
        <f t="shared" si="190"/>
        <v>0</v>
      </c>
      <c r="X298" s="140"/>
      <c r="Y298" s="140"/>
      <c r="Z298" s="394"/>
    </row>
    <row r="299" spans="1:26" ht="18.75" customHeight="1">
      <c r="A299" s="313" t="s">
        <v>91</v>
      </c>
      <c r="B299" s="70" t="s">
        <v>113</v>
      </c>
      <c r="C299" s="321" t="s">
        <v>43</v>
      </c>
      <c r="D299" s="304" t="s">
        <v>121</v>
      </c>
      <c r="E299" s="328"/>
      <c r="F299" s="325" t="s">
        <v>18</v>
      </c>
      <c r="G299" s="25">
        <f>G300+G302+G304+G308+G309</f>
        <v>486.8</v>
      </c>
      <c r="H299" s="25">
        <f>H300+H302+H304+H308+H309</f>
        <v>0</v>
      </c>
      <c r="I299" s="26"/>
      <c r="J299" s="26"/>
      <c r="K299" s="26"/>
      <c r="L299" s="25">
        <f>L300+L302+L304+L308+L309</f>
        <v>486.8</v>
      </c>
      <c r="M299" s="26">
        <v>0</v>
      </c>
      <c r="N299" s="26">
        <v>0</v>
      </c>
      <c r="O299" s="26">
        <v>0</v>
      </c>
      <c r="P299" s="25">
        <f>P300+P302+P304+P308+P309</f>
        <v>0</v>
      </c>
      <c r="Q299" s="26">
        <v>0</v>
      </c>
      <c r="R299" s="26">
        <v>0</v>
      </c>
      <c r="S299" s="26">
        <v>0</v>
      </c>
      <c r="T299" s="25">
        <f>H299+L299</f>
        <v>486.8</v>
      </c>
      <c r="U299" s="25">
        <f>I299+M299+Q299</f>
        <v>0</v>
      </c>
      <c r="V299" s="25">
        <f t="shared" ref="V299:W300" si="192">J299+N299+R299</f>
        <v>0</v>
      </c>
      <c r="W299" s="25">
        <f t="shared" si="192"/>
        <v>0</v>
      </c>
      <c r="X299" s="26"/>
      <c r="Y299" s="26"/>
      <c r="Z299" s="360"/>
    </row>
    <row r="300" spans="1:26">
      <c r="A300" s="314"/>
      <c r="B300" s="22" t="s">
        <v>127</v>
      </c>
      <c r="C300" s="322"/>
      <c r="D300" s="307"/>
      <c r="E300" s="393"/>
      <c r="F300" s="326"/>
      <c r="G300" s="323">
        <v>486.8</v>
      </c>
      <c r="H300" s="323"/>
      <c r="I300" s="134"/>
      <c r="J300" s="134"/>
      <c r="K300" s="134"/>
      <c r="L300" s="323">
        <v>486.8</v>
      </c>
      <c r="M300" s="134"/>
      <c r="N300" s="134"/>
      <c r="O300" s="134"/>
      <c r="P300" s="323">
        <v>0</v>
      </c>
      <c r="Q300" s="245"/>
      <c r="R300" s="245"/>
      <c r="S300" s="245"/>
      <c r="T300" s="323">
        <f t="shared" ref="T300:U301" si="193">H300+L300</f>
        <v>486.8</v>
      </c>
      <c r="U300" s="323">
        <f>I300+M300+Q300</f>
        <v>0</v>
      </c>
      <c r="V300" s="323">
        <f t="shared" si="192"/>
        <v>0</v>
      </c>
      <c r="W300" s="323">
        <f t="shared" si="192"/>
        <v>0</v>
      </c>
      <c r="X300" s="323">
        <v>486.8</v>
      </c>
      <c r="Y300" s="323"/>
      <c r="Z300" s="307"/>
    </row>
    <row r="301" spans="1:26">
      <c r="A301" s="314"/>
      <c r="B301" s="40" t="s">
        <v>27</v>
      </c>
      <c r="C301" s="322"/>
      <c r="D301" s="307"/>
      <c r="E301" s="393"/>
      <c r="F301" s="326"/>
      <c r="G301" s="324"/>
      <c r="H301" s="324"/>
      <c r="I301" s="136"/>
      <c r="J301" s="136"/>
      <c r="K301" s="136"/>
      <c r="L301" s="324"/>
      <c r="M301" s="136"/>
      <c r="N301" s="136"/>
      <c r="O301" s="136"/>
      <c r="P301" s="324"/>
      <c r="Q301" s="247"/>
      <c r="R301" s="247"/>
      <c r="S301" s="247"/>
      <c r="T301" s="324">
        <f t="shared" si="193"/>
        <v>0</v>
      </c>
      <c r="U301" s="324">
        <f t="shared" si="193"/>
        <v>0</v>
      </c>
      <c r="V301" s="324">
        <f t="shared" ref="V301" si="194">J301+N301</f>
        <v>0</v>
      </c>
      <c r="W301" s="324">
        <f t="shared" ref="W301" si="195">K301+O301</f>
        <v>0</v>
      </c>
      <c r="X301" s="324"/>
      <c r="Y301" s="324"/>
      <c r="Z301" s="307"/>
    </row>
    <row r="302" spans="1:26">
      <c r="A302" s="314"/>
      <c r="B302" s="23" t="s">
        <v>29</v>
      </c>
      <c r="C302" s="322"/>
      <c r="D302" s="307"/>
      <c r="E302" s="393"/>
      <c r="F302" s="326"/>
      <c r="G302" s="150">
        <v>0</v>
      </c>
      <c r="H302" s="136"/>
      <c r="I302" s="136"/>
      <c r="J302" s="136"/>
      <c r="K302" s="136"/>
      <c r="L302" s="150">
        <v>0</v>
      </c>
      <c r="M302" s="136"/>
      <c r="N302" s="136"/>
      <c r="O302" s="136"/>
      <c r="P302" s="254">
        <v>0</v>
      </c>
      <c r="Q302" s="247"/>
      <c r="R302" s="247"/>
      <c r="S302" s="247"/>
      <c r="T302" s="150">
        <f>H302+L302</f>
        <v>0</v>
      </c>
      <c r="U302" s="257">
        <f>I302+M302+Q302</f>
        <v>0</v>
      </c>
      <c r="V302" s="150">
        <f>J302+N302</f>
        <v>0</v>
      </c>
      <c r="W302" s="150">
        <f>K302+O302</f>
        <v>0</v>
      </c>
      <c r="X302" s="136"/>
      <c r="Y302" s="136"/>
      <c r="Z302" s="307"/>
    </row>
    <row r="303" spans="1:26">
      <c r="A303" s="314"/>
      <c r="B303" s="44" t="s">
        <v>39</v>
      </c>
      <c r="C303" s="322"/>
      <c r="D303" s="307"/>
      <c r="E303" s="393"/>
      <c r="F303" s="326"/>
      <c r="G303" s="151">
        <v>0</v>
      </c>
      <c r="H303" s="136"/>
      <c r="I303" s="136"/>
      <c r="J303" s="136"/>
      <c r="K303" s="136"/>
      <c r="L303" s="151">
        <v>0</v>
      </c>
      <c r="M303" s="136"/>
      <c r="N303" s="136"/>
      <c r="O303" s="136"/>
      <c r="P303" s="253">
        <v>0</v>
      </c>
      <c r="Q303" s="247"/>
      <c r="R303" s="247"/>
      <c r="S303" s="247"/>
      <c r="T303" s="151">
        <f t="shared" ref="T303:W309" si="196">H303+L303</f>
        <v>0</v>
      </c>
      <c r="U303" s="258">
        <f>I303+M303+Q303</f>
        <v>0</v>
      </c>
      <c r="V303" s="151">
        <f t="shared" si="196"/>
        <v>0</v>
      </c>
      <c r="W303" s="151">
        <f t="shared" si="196"/>
        <v>0</v>
      </c>
      <c r="X303" s="136"/>
      <c r="Y303" s="136"/>
      <c r="Z303" s="307"/>
    </row>
    <row r="304" spans="1:26">
      <c r="A304" s="314"/>
      <c r="B304" s="23" t="s">
        <v>30</v>
      </c>
      <c r="C304" s="322"/>
      <c r="D304" s="307"/>
      <c r="E304" s="393"/>
      <c r="F304" s="326"/>
      <c r="G304" s="150">
        <v>0</v>
      </c>
      <c r="H304" s="136"/>
      <c r="I304" s="136"/>
      <c r="J304" s="136"/>
      <c r="K304" s="136"/>
      <c r="L304" s="150">
        <v>0</v>
      </c>
      <c r="M304" s="136"/>
      <c r="N304" s="136"/>
      <c r="O304" s="136"/>
      <c r="P304" s="254">
        <v>0</v>
      </c>
      <c r="Q304" s="247"/>
      <c r="R304" s="247"/>
      <c r="S304" s="247"/>
      <c r="T304" s="150">
        <f t="shared" si="196"/>
        <v>0</v>
      </c>
      <c r="U304" s="257">
        <f>I304+M304+Q304</f>
        <v>0</v>
      </c>
      <c r="V304" s="150">
        <f t="shared" si="196"/>
        <v>0</v>
      </c>
      <c r="W304" s="150">
        <f t="shared" si="196"/>
        <v>0</v>
      </c>
      <c r="X304" s="136"/>
      <c r="Y304" s="136"/>
      <c r="Z304" s="307"/>
    </row>
    <row r="305" spans="1:26">
      <c r="A305" s="314"/>
      <c r="B305" s="44" t="s">
        <v>41</v>
      </c>
      <c r="C305" s="391"/>
      <c r="D305" s="393"/>
      <c r="E305" s="393"/>
      <c r="F305" s="393"/>
      <c r="G305" s="151">
        <v>0</v>
      </c>
      <c r="H305" s="140"/>
      <c r="I305" s="140"/>
      <c r="J305" s="140"/>
      <c r="K305" s="140"/>
      <c r="L305" s="151">
        <v>0</v>
      </c>
      <c r="M305" s="140"/>
      <c r="N305" s="140"/>
      <c r="O305" s="140"/>
      <c r="P305" s="253">
        <v>0</v>
      </c>
      <c r="Q305" s="254"/>
      <c r="R305" s="254"/>
      <c r="S305" s="254"/>
      <c r="T305" s="151">
        <f t="shared" si="196"/>
        <v>0</v>
      </c>
      <c r="U305" s="258">
        <f>I305+M305+Q305</f>
        <v>0</v>
      </c>
      <c r="V305" s="151">
        <f t="shared" si="196"/>
        <v>0</v>
      </c>
      <c r="W305" s="151">
        <f t="shared" si="196"/>
        <v>0</v>
      </c>
      <c r="X305" s="140"/>
      <c r="Y305" s="140"/>
      <c r="Z305" s="393"/>
    </row>
    <row r="306" spans="1:26">
      <c r="A306" s="314"/>
      <c r="B306" s="41" t="s">
        <v>32</v>
      </c>
      <c r="C306" s="391"/>
      <c r="D306" s="393"/>
      <c r="E306" s="393"/>
      <c r="F306" s="393"/>
      <c r="G306" s="151">
        <v>0</v>
      </c>
      <c r="H306" s="140"/>
      <c r="I306" s="140"/>
      <c r="J306" s="140"/>
      <c r="K306" s="140"/>
      <c r="L306" s="151">
        <v>0</v>
      </c>
      <c r="M306" s="140"/>
      <c r="N306" s="140"/>
      <c r="O306" s="140"/>
      <c r="P306" s="253">
        <v>0</v>
      </c>
      <c r="Q306" s="254"/>
      <c r="R306" s="254"/>
      <c r="S306" s="254"/>
      <c r="T306" s="151">
        <f t="shared" si="196"/>
        <v>0</v>
      </c>
      <c r="U306" s="258">
        <f t="shared" ref="U306:U307" si="197">I306+M306+Q306</f>
        <v>0</v>
      </c>
      <c r="V306" s="151">
        <f t="shared" si="196"/>
        <v>0</v>
      </c>
      <c r="W306" s="151">
        <f t="shared" si="196"/>
        <v>0</v>
      </c>
      <c r="X306" s="140"/>
      <c r="Y306" s="140"/>
      <c r="Z306" s="393"/>
    </row>
    <row r="307" spans="1:26">
      <c r="A307" s="314"/>
      <c r="B307" s="41" t="s">
        <v>33</v>
      </c>
      <c r="C307" s="391"/>
      <c r="D307" s="393"/>
      <c r="E307" s="393"/>
      <c r="F307" s="393"/>
      <c r="G307" s="151">
        <v>0</v>
      </c>
      <c r="H307" s="140"/>
      <c r="I307" s="140"/>
      <c r="J307" s="140"/>
      <c r="K307" s="140"/>
      <c r="L307" s="151">
        <v>0</v>
      </c>
      <c r="M307" s="140"/>
      <c r="N307" s="140"/>
      <c r="O307" s="140"/>
      <c r="P307" s="253">
        <v>0</v>
      </c>
      <c r="Q307" s="254"/>
      <c r="R307" s="254"/>
      <c r="S307" s="254"/>
      <c r="T307" s="151">
        <f t="shared" si="196"/>
        <v>0</v>
      </c>
      <c r="U307" s="258">
        <f t="shared" si="197"/>
        <v>0</v>
      </c>
      <c r="V307" s="151">
        <f t="shared" si="196"/>
        <v>0</v>
      </c>
      <c r="W307" s="151">
        <f t="shared" si="196"/>
        <v>0</v>
      </c>
      <c r="X307" s="140"/>
      <c r="Y307" s="140"/>
      <c r="Z307" s="393"/>
    </row>
    <row r="308" spans="1:26">
      <c r="A308" s="314"/>
      <c r="B308" s="23" t="s">
        <v>37</v>
      </c>
      <c r="C308" s="391"/>
      <c r="D308" s="393"/>
      <c r="E308" s="393"/>
      <c r="F308" s="393"/>
      <c r="G308" s="150">
        <v>0</v>
      </c>
      <c r="H308" s="140"/>
      <c r="I308" s="140"/>
      <c r="J308" s="140"/>
      <c r="K308" s="140"/>
      <c r="L308" s="150">
        <v>0</v>
      </c>
      <c r="M308" s="140"/>
      <c r="N308" s="140"/>
      <c r="O308" s="140"/>
      <c r="P308" s="254">
        <v>0</v>
      </c>
      <c r="Q308" s="254"/>
      <c r="R308" s="254"/>
      <c r="S308" s="254"/>
      <c r="T308" s="150">
        <f t="shared" si="196"/>
        <v>0</v>
      </c>
      <c r="U308" s="257">
        <f>I308+M308+Q308</f>
        <v>0</v>
      </c>
      <c r="V308" s="150">
        <f t="shared" si="196"/>
        <v>0</v>
      </c>
      <c r="W308" s="150">
        <f t="shared" si="196"/>
        <v>0</v>
      </c>
      <c r="X308" s="140"/>
      <c r="Y308" s="140"/>
      <c r="Z308" s="393"/>
    </row>
    <row r="309" spans="1:26">
      <c r="A309" s="314"/>
      <c r="B309" s="23" t="s">
        <v>38</v>
      </c>
      <c r="C309" s="392"/>
      <c r="D309" s="394"/>
      <c r="E309" s="394"/>
      <c r="F309" s="394"/>
      <c r="G309" s="150">
        <v>0</v>
      </c>
      <c r="H309" s="140"/>
      <c r="I309" s="140"/>
      <c r="J309" s="140"/>
      <c r="K309" s="140"/>
      <c r="L309" s="150">
        <v>0</v>
      </c>
      <c r="M309" s="140"/>
      <c r="N309" s="140"/>
      <c r="O309" s="140"/>
      <c r="P309" s="254">
        <v>0</v>
      </c>
      <c r="Q309" s="254"/>
      <c r="R309" s="254"/>
      <c r="S309" s="254"/>
      <c r="T309" s="150">
        <f t="shared" si="196"/>
        <v>0</v>
      </c>
      <c r="U309" s="257">
        <f>I309+M309+Q309</f>
        <v>0</v>
      </c>
      <c r="V309" s="150">
        <f t="shared" si="196"/>
        <v>0</v>
      </c>
      <c r="W309" s="150">
        <f t="shared" si="196"/>
        <v>0</v>
      </c>
      <c r="X309" s="140"/>
      <c r="Y309" s="140"/>
      <c r="Z309" s="394"/>
    </row>
    <row r="310" spans="1:26" ht="14.25" customHeight="1">
      <c r="A310" s="313" t="s">
        <v>77</v>
      </c>
      <c r="B310" s="16" t="s">
        <v>138</v>
      </c>
      <c r="C310" s="321" t="s">
        <v>43</v>
      </c>
      <c r="D310" s="304" t="s">
        <v>8</v>
      </c>
      <c r="E310" s="328">
        <v>1.2</v>
      </c>
      <c r="F310" s="325" t="s">
        <v>18</v>
      </c>
      <c r="G310" s="25">
        <f>G311+G314+G316+G320+G321</f>
        <v>5232</v>
      </c>
      <c r="H310" s="25">
        <f>H311+H314+H316+H320+H321</f>
        <v>0</v>
      </c>
      <c r="I310" s="25">
        <f t="shared" ref="I310:K310" si="198">I311+I314+I316+I320+I321</f>
        <v>0</v>
      </c>
      <c r="J310" s="25">
        <f t="shared" si="198"/>
        <v>1199.922</v>
      </c>
      <c r="K310" s="25">
        <f t="shared" si="198"/>
        <v>1199.922</v>
      </c>
      <c r="L310" s="25">
        <f>L311+L314+L316+L320+L321</f>
        <v>5232</v>
      </c>
      <c r="M310" s="25">
        <f>M311+M314+M316+M320+M321</f>
        <v>2159.86</v>
      </c>
      <c r="N310" s="25">
        <f t="shared" ref="N310:O310" si="199">N311+N314+N316+N320+N321</f>
        <v>959.93799999999999</v>
      </c>
      <c r="O310" s="25">
        <f t="shared" si="199"/>
        <v>959.93799999999999</v>
      </c>
      <c r="P310" s="25">
        <f>P311+P314+P316+P320+P321</f>
        <v>0</v>
      </c>
      <c r="Q310" s="25">
        <f>Q311+Q314+Q316+Q320+Q321</f>
        <v>239.98400000000001</v>
      </c>
      <c r="R310" s="25">
        <f t="shared" ref="R310:S310" si="200">R311+R314+R316+R320+R321</f>
        <v>239.98400000000001</v>
      </c>
      <c r="S310" s="25">
        <f t="shared" si="200"/>
        <v>239.98400000000001</v>
      </c>
      <c r="T310" s="25">
        <f>H310+L310</f>
        <v>5232</v>
      </c>
      <c r="U310" s="25">
        <f>I310+M310+Q310</f>
        <v>2399.8440000000001</v>
      </c>
      <c r="V310" s="25">
        <f t="shared" ref="V310:W311" si="201">J310+N310+R310</f>
        <v>2399.8440000000001</v>
      </c>
      <c r="W310" s="25">
        <f t="shared" si="201"/>
        <v>2399.8440000000001</v>
      </c>
      <c r="X310" s="26"/>
      <c r="Y310" s="26"/>
      <c r="Z310" s="360"/>
    </row>
    <row r="311" spans="1:26" ht="15.75" customHeight="1">
      <c r="A311" s="314"/>
      <c r="B311" s="22" t="s">
        <v>127</v>
      </c>
      <c r="C311" s="322"/>
      <c r="D311" s="307"/>
      <c r="E311" s="393"/>
      <c r="F311" s="326"/>
      <c r="G311" s="323">
        <v>5232</v>
      </c>
      <c r="H311" s="323"/>
      <c r="I311" s="323">
        <f>SUM(I313)</f>
        <v>0</v>
      </c>
      <c r="J311" s="323">
        <f t="shared" ref="J311:K311" si="202">SUM(J313)</f>
        <v>1199.922</v>
      </c>
      <c r="K311" s="323">
        <f t="shared" si="202"/>
        <v>1199.922</v>
      </c>
      <c r="L311" s="323">
        <v>5232</v>
      </c>
      <c r="M311" s="323">
        <f>SUM(M313:M316)</f>
        <v>2159.86</v>
      </c>
      <c r="N311" s="323">
        <f t="shared" ref="N311:O311" si="203">SUM(N313:N316)</f>
        <v>959.93799999999999</v>
      </c>
      <c r="O311" s="323">
        <f t="shared" si="203"/>
        <v>959.93799999999999</v>
      </c>
      <c r="P311" s="323">
        <v>0</v>
      </c>
      <c r="Q311" s="323">
        <f>SUM(Q313:Q316)</f>
        <v>239.98400000000001</v>
      </c>
      <c r="R311" s="323">
        <f t="shared" ref="R311:S311" si="204">SUM(R313:R316)</f>
        <v>239.98400000000001</v>
      </c>
      <c r="S311" s="323">
        <f t="shared" si="204"/>
        <v>239.98400000000001</v>
      </c>
      <c r="T311" s="323">
        <f t="shared" ref="T311:U312" si="205">H311+L311</f>
        <v>5232</v>
      </c>
      <c r="U311" s="323">
        <f>I311+M311+Q311</f>
        <v>2399.8440000000001</v>
      </c>
      <c r="V311" s="323">
        <f t="shared" si="201"/>
        <v>2399.8440000000001</v>
      </c>
      <c r="W311" s="323">
        <f t="shared" si="201"/>
        <v>2399.8440000000001</v>
      </c>
      <c r="X311" s="323">
        <v>5232</v>
      </c>
      <c r="Y311" s="323"/>
      <c r="Z311" s="307"/>
    </row>
    <row r="312" spans="1:26" ht="11.25" customHeight="1">
      <c r="A312" s="314"/>
      <c r="B312" s="40" t="s">
        <v>27</v>
      </c>
      <c r="C312" s="322"/>
      <c r="D312" s="307"/>
      <c r="E312" s="393"/>
      <c r="F312" s="326"/>
      <c r="G312" s="394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  <c r="T312" s="324">
        <f t="shared" si="205"/>
        <v>0</v>
      </c>
      <c r="U312" s="324">
        <f t="shared" si="205"/>
        <v>0</v>
      </c>
      <c r="V312" s="324">
        <f t="shared" ref="V312" si="206">J312+N312</f>
        <v>0</v>
      </c>
      <c r="W312" s="324">
        <f t="shared" ref="W312" si="207">K312+O312</f>
        <v>0</v>
      </c>
      <c r="X312" s="324"/>
      <c r="Y312" s="324"/>
      <c r="Z312" s="307"/>
    </row>
    <row r="313" spans="1:26" ht="15.75" hidden="1" customHeight="1">
      <c r="A313" s="314"/>
      <c r="B313" s="115" t="s">
        <v>169</v>
      </c>
      <c r="C313" s="322"/>
      <c r="D313" s="307"/>
      <c r="E313" s="393"/>
      <c r="F313" s="326"/>
      <c r="G313" s="105"/>
      <c r="H313" s="136"/>
      <c r="I313" s="117"/>
      <c r="J313" s="117">
        <v>1199.922</v>
      </c>
      <c r="K313" s="117">
        <v>1199.922</v>
      </c>
      <c r="L313" s="117"/>
      <c r="M313" s="117">
        <v>2159.86</v>
      </c>
      <c r="N313" s="117">
        <v>959.93799999999999</v>
      </c>
      <c r="O313" s="117">
        <v>959.93799999999999</v>
      </c>
      <c r="P313" s="117"/>
      <c r="Q313" s="117">
        <v>239.98400000000001</v>
      </c>
      <c r="R313" s="117">
        <v>239.98400000000001</v>
      </c>
      <c r="S313" s="117">
        <v>239.98400000000001</v>
      </c>
      <c r="T313" s="150">
        <f>H313+L313</f>
        <v>0</v>
      </c>
      <c r="U313" s="118">
        <f>I313+M313+Q313</f>
        <v>2399.8440000000001</v>
      </c>
      <c r="V313" s="150">
        <f>J313+N313</f>
        <v>2159.86</v>
      </c>
      <c r="W313" s="150">
        <f>K313+O313</f>
        <v>2159.86</v>
      </c>
      <c r="X313" s="136"/>
      <c r="Y313" s="136"/>
      <c r="Z313" s="307"/>
    </row>
    <row r="314" spans="1:26">
      <c r="A314" s="314"/>
      <c r="B314" s="23" t="s">
        <v>29</v>
      </c>
      <c r="C314" s="322"/>
      <c r="D314" s="307"/>
      <c r="E314" s="393"/>
      <c r="F314" s="326"/>
      <c r="G314" s="150">
        <v>0</v>
      </c>
      <c r="H314" s="136"/>
      <c r="I314" s="136"/>
      <c r="J314" s="136"/>
      <c r="K314" s="136"/>
      <c r="L314" s="150">
        <v>0</v>
      </c>
      <c r="M314" s="136"/>
      <c r="N314" s="136"/>
      <c r="O314" s="136"/>
      <c r="P314" s="254">
        <v>0</v>
      </c>
      <c r="Q314" s="247"/>
      <c r="R314" s="247"/>
      <c r="S314" s="247"/>
      <c r="T314" s="151">
        <f t="shared" ref="T314:W321" si="208">H314+L314</f>
        <v>0</v>
      </c>
      <c r="U314" s="257">
        <f>I314+M314+Q314</f>
        <v>0</v>
      </c>
      <c r="V314" s="151">
        <f t="shared" si="208"/>
        <v>0</v>
      </c>
      <c r="W314" s="151">
        <f t="shared" si="208"/>
        <v>0</v>
      </c>
      <c r="X314" s="136"/>
      <c r="Y314" s="136"/>
      <c r="Z314" s="307"/>
    </row>
    <row r="315" spans="1:26">
      <c r="A315" s="314"/>
      <c r="B315" s="44" t="s">
        <v>39</v>
      </c>
      <c r="C315" s="322"/>
      <c r="D315" s="307"/>
      <c r="E315" s="393"/>
      <c r="F315" s="326"/>
      <c r="G315" s="151">
        <v>0</v>
      </c>
      <c r="H315" s="136"/>
      <c r="I315" s="136"/>
      <c r="J315" s="136"/>
      <c r="K315" s="136"/>
      <c r="L315" s="151">
        <v>0</v>
      </c>
      <c r="M315" s="136"/>
      <c r="N315" s="136"/>
      <c r="O315" s="136"/>
      <c r="P315" s="253">
        <v>0</v>
      </c>
      <c r="Q315" s="247"/>
      <c r="R315" s="247"/>
      <c r="S315" s="247"/>
      <c r="T315" s="150">
        <f t="shared" si="208"/>
        <v>0</v>
      </c>
      <c r="U315" s="258">
        <f>I315+M315+Q315</f>
        <v>0</v>
      </c>
      <c r="V315" s="150">
        <f t="shared" si="208"/>
        <v>0</v>
      </c>
      <c r="W315" s="150">
        <f t="shared" si="208"/>
        <v>0</v>
      </c>
      <c r="X315" s="136"/>
      <c r="Y315" s="136"/>
      <c r="Z315" s="307"/>
    </row>
    <row r="316" spans="1:26">
      <c r="A316" s="314"/>
      <c r="B316" s="23" t="s">
        <v>30</v>
      </c>
      <c r="C316" s="322"/>
      <c r="D316" s="307"/>
      <c r="E316" s="393"/>
      <c r="F316" s="326"/>
      <c r="G316" s="150">
        <v>0</v>
      </c>
      <c r="H316" s="136"/>
      <c r="I316" s="136"/>
      <c r="J316" s="136"/>
      <c r="K316" s="136"/>
      <c r="L316" s="150">
        <v>0</v>
      </c>
      <c r="M316" s="136"/>
      <c r="N316" s="136"/>
      <c r="O316" s="136"/>
      <c r="P316" s="254">
        <v>0</v>
      </c>
      <c r="Q316" s="247"/>
      <c r="R316" s="247"/>
      <c r="S316" s="247"/>
      <c r="T316" s="151">
        <f t="shared" si="208"/>
        <v>0</v>
      </c>
      <c r="U316" s="257">
        <f>I316+M316+Q316</f>
        <v>0</v>
      </c>
      <c r="V316" s="151">
        <f t="shared" si="208"/>
        <v>0</v>
      </c>
      <c r="W316" s="151">
        <f t="shared" si="208"/>
        <v>0</v>
      </c>
      <c r="X316" s="136"/>
      <c r="Y316" s="136"/>
      <c r="Z316" s="307"/>
    </row>
    <row r="317" spans="1:26">
      <c r="A317" s="314"/>
      <c r="B317" s="44" t="s">
        <v>41</v>
      </c>
      <c r="C317" s="391"/>
      <c r="D317" s="393"/>
      <c r="E317" s="393"/>
      <c r="F317" s="393"/>
      <c r="G317" s="151">
        <v>0</v>
      </c>
      <c r="H317" s="140"/>
      <c r="I317" s="140"/>
      <c r="J317" s="140"/>
      <c r="K317" s="140"/>
      <c r="L317" s="151">
        <v>0</v>
      </c>
      <c r="M317" s="140"/>
      <c r="N317" s="140"/>
      <c r="O317" s="140"/>
      <c r="P317" s="253">
        <v>0</v>
      </c>
      <c r="Q317" s="254"/>
      <c r="R317" s="254"/>
      <c r="S317" s="254"/>
      <c r="T317" s="151">
        <f t="shared" si="208"/>
        <v>0</v>
      </c>
      <c r="U317" s="258">
        <f>I317+M317+Q317</f>
        <v>0</v>
      </c>
      <c r="V317" s="151">
        <f t="shared" si="208"/>
        <v>0</v>
      </c>
      <c r="W317" s="151">
        <f t="shared" si="208"/>
        <v>0</v>
      </c>
      <c r="X317" s="140"/>
      <c r="Y317" s="140"/>
      <c r="Z317" s="393"/>
    </row>
    <row r="318" spans="1:26">
      <c r="A318" s="314"/>
      <c r="B318" s="41" t="s">
        <v>32</v>
      </c>
      <c r="C318" s="391"/>
      <c r="D318" s="393"/>
      <c r="E318" s="393"/>
      <c r="F318" s="393"/>
      <c r="G318" s="151">
        <v>0</v>
      </c>
      <c r="H318" s="140"/>
      <c r="I318" s="140"/>
      <c r="J318" s="140"/>
      <c r="K318" s="140"/>
      <c r="L318" s="151">
        <v>0</v>
      </c>
      <c r="M318" s="140"/>
      <c r="N318" s="140"/>
      <c r="O318" s="140"/>
      <c r="P318" s="253">
        <v>0</v>
      </c>
      <c r="Q318" s="254"/>
      <c r="R318" s="254"/>
      <c r="S318" s="254"/>
      <c r="T318" s="151">
        <f t="shared" si="208"/>
        <v>0</v>
      </c>
      <c r="U318" s="258">
        <f t="shared" ref="U318:U319" si="209">I318+M318+Q318</f>
        <v>0</v>
      </c>
      <c r="V318" s="151">
        <f t="shared" si="208"/>
        <v>0</v>
      </c>
      <c r="W318" s="151">
        <f t="shared" si="208"/>
        <v>0</v>
      </c>
      <c r="X318" s="140"/>
      <c r="Y318" s="140"/>
      <c r="Z318" s="393"/>
    </row>
    <row r="319" spans="1:26">
      <c r="A319" s="314"/>
      <c r="B319" s="41" t="s">
        <v>33</v>
      </c>
      <c r="C319" s="391"/>
      <c r="D319" s="393"/>
      <c r="E319" s="393"/>
      <c r="F319" s="393"/>
      <c r="G319" s="151">
        <v>0</v>
      </c>
      <c r="H319" s="140"/>
      <c r="I319" s="140"/>
      <c r="J319" s="140"/>
      <c r="K319" s="140"/>
      <c r="L319" s="151">
        <v>0</v>
      </c>
      <c r="M319" s="140"/>
      <c r="N319" s="140"/>
      <c r="O319" s="140"/>
      <c r="P319" s="253">
        <v>0</v>
      </c>
      <c r="Q319" s="254"/>
      <c r="R319" s="254"/>
      <c r="S319" s="254"/>
      <c r="T319" s="150">
        <f t="shared" si="208"/>
        <v>0</v>
      </c>
      <c r="U319" s="258">
        <f t="shared" si="209"/>
        <v>0</v>
      </c>
      <c r="V319" s="150">
        <f t="shared" si="208"/>
        <v>0</v>
      </c>
      <c r="W319" s="150">
        <f t="shared" si="208"/>
        <v>0</v>
      </c>
      <c r="X319" s="140"/>
      <c r="Y319" s="140"/>
      <c r="Z319" s="393"/>
    </row>
    <row r="320" spans="1:26">
      <c r="A320" s="314"/>
      <c r="B320" s="23" t="s">
        <v>37</v>
      </c>
      <c r="C320" s="391"/>
      <c r="D320" s="393"/>
      <c r="E320" s="393"/>
      <c r="F320" s="393"/>
      <c r="G320" s="150">
        <v>0</v>
      </c>
      <c r="H320" s="140"/>
      <c r="I320" s="140"/>
      <c r="J320" s="140"/>
      <c r="K320" s="140"/>
      <c r="L320" s="150">
        <v>0</v>
      </c>
      <c r="M320" s="140"/>
      <c r="N320" s="140"/>
      <c r="O320" s="140"/>
      <c r="P320" s="254">
        <v>0</v>
      </c>
      <c r="Q320" s="254"/>
      <c r="R320" s="254"/>
      <c r="S320" s="254"/>
      <c r="T320" s="150">
        <f t="shared" si="208"/>
        <v>0</v>
      </c>
      <c r="U320" s="257">
        <f>I320+M320+Q320</f>
        <v>0</v>
      </c>
      <c r="V320" s="150">
        <f t="shared" si="208"/>
        <v>0</v>
      </c>
      <c r="W320" s="150">
        <f t="shared" si="208"/>
        <v>0</v>
      </c>
      <c r="X320" s="140"/>
      <c r="Y320" s="140"/>
      <c r="Z320" s="393"/>
    </row>
    <row r="321" spans="1:26">
      <c r="A321" s="314"/>
      <c r="B321" s="23" t="s">
        <v>38</v>
      </c>
      <c r="C321" s="392"/>
      <c r="D321" s="394"/>
      <c r="E321" s="394"/>
      <c r="F321" s="394"/>
      <c r="G321" s="150">
        <v>0</v>
      </c>
      <c r="H321" s="140"/>
      <c r="I321" s="140"/>
      <c r="J321" s="140"/>
      <c r="K321" s="140"/>
      <c r="L321" s="150">
        <v>0</v>
      </c>
      <c r="M321" s="140"/>
      <c r="N321" s="140"/>
      <c r="O321" s="140"/>
      <c r="P321" s="254">
        <v>0</v>
      </c>
      <c r="Q321" s="254"/>
      <c r="R321" s="254"/>
      <c r="S321" s="254"/>
      <c r="T321" s="150">
        <f t="shared" si="208"/>
        <v>0</v>
      </c>
      <c r="U321" s="257">
        <f>I321+M321+Q321</f>
        <v>0</v>
      </c>
      <c r="V321" s="150">
        <f t="shared" si="208"/>
        <v>0</v>
      </c>
      <c r="W321" s="150">
        <f t="shared" si="208"/>
        <v>0</v>
      </c>
      <c r="X321" s="140"/>
      <c r="Y321" s="140"/>
      <c r="Z321" s="394"/>
    </row>
    <row r="322" spans="1:26" ht="12.75" hidden="1" customHeight="1">
      <c r="A322" s="313" t="s">
        <v>98</v>
      </c>
      <c r="B322" s="69"/>
      <c r="C322" s="441" t="s">
        <v>58</v>
      </c>
      <c r="D322" s="443" t="s">
        <v>10</v>
      </c>
      <c r="E322" s="446">
        <v>3.57</v>
      </c>
      <c r="F322" s="445" t="s">
        <v>18</v>
      </c>
      <c r="G322" s="25">
        <f>G323+G325+G327+G331+G332</f>
        <v>0</v>
      </c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360"/>
    </row>
    <row r="323" spans="1:26" ht="12.75" hidden="1" customHeight="1">
      <c r="A323" s="314"/>
      <c r="B323" s="22" t="s">
        <v>127</v>
      </c>
      <c r="C323" s="441"/>
      <c r="D323" s="444"/>
      <c r="E323" s="440"/>
      <c r="F323" s="445"/>
      <c r="G323" s="439">
        <f>SUM(H323:Y323)</f>
        <v>0</v>
      </c>
      <c r="H323" s="439"/>
      <c r="I323" s="140"/>
      <c r="J323" s="140"/>
      <c r="K323" s="140"/>
      <c r="L323" s="140"/>
      <c r="M323" s="140"/>
      <c r="N323" s="140"/>
      <c r="O323" s="140"/>
      <c r="P323" s="254"/>
      <c r="Q323" s="254"/>
      <c r="R323" s="254"/>
      <c r="S323" s="254"/>
      <c r="T323" s="140"/>
      <c r="U323" s="150"/>
      <c r="V323" s="150"/>
      <c r="W323" s="150"/>
      <c r="X323" s="439"/>
      <c r="Y323" s="439"/>
      <c r="Z323" s="307"/>
    </row>
    <row r="324" spans="1:26" ht="12.75" hidden="1" customHeight="1">
      <c r="A324" s="314"/>
      <c r="B324" s="40" t="s">
        <v>27</v>
      </c>
      <c r="C324" s="441"/>
      <c r="D324" s="444"/>
      <c r="E324" s="440"/>
      <c r="F324" s="445"/>
      <c r="G324" s="440"/>
      <c r="H324" s="439"/>
      <c r="I324" s="140"/>
      <c r="J324" s="140"/>
      <c r="K324" s="140"/>
      <c r="L324" s="140"/>
      <c r="M324" s="140"/>
      <c r="N324" s="140"/>
      <c r="O324" s="140"/>
      <c r="P324" s="254"/>
      <c r="Q324" s="254"/>
      <c r="R324" s="254"/>
      <c r="S324" s="254"/>
      <c r="T324" s="140"/>
      <c r="U324" s="150"/>
      <c r="V324" s="150"/>
      <c r="W324" s="150"/>
      <c r="X324" s="439"/>
      <c r="Y324" s="439"/>
      <c r="Z324" s="307"/>
    </row>
    <row r="325" spans="1:26" ht="12.75" hidden="1" customHeight="1">
      <c r="A325" s="314"/>
      <c r="B325" s="23" t="s">
        <v>29</v>
      </c>
      <c r="C325" s="441"/>
      <c r="D325" s="444"/>
      <c r="E325" s="440"/>
      <c r="F325" s="445"/>
      <c r="G325" s="140">
        <f>SUM(G326)</f>
        <v>0</v>
      </c>
      <c r="H325" s="140"/>
      <c r="I325" s="140"/>
      <c r="J325" s="140"/>
      <c r="K325" s="140"/>
      <c r="L325" s="140"/>
      <c r="M325" s="140"/>
      <c r="N325" s="140"/>
      <c r="O325" s="140"/>
      <c r="P325" s="254"/>
      <c r="Q325" s="254"/>
      <c r="R325" s="254"/>
      <c r="S325" s="254"/>
      <c r="T325" s="140"/>
      <c r="U325" s="150"/>
      <c r="V325" s="150"/>
      <c r="W325" s="150"/>
      <c r="X325" s="140"/>
      <c r="Y325" s="140"/>
      <c r="Z325" s="307"/>
    </row>
    <row r="326" spans="1:26" ht="12.75" hidden="1" customHeight="1">
      <c r="A326" s="314"/>
      <c r="B326" s="44" t="s">
        <v>39</v>
      </c>
      <c r="C326" s="441"/>
      <c r="D326" s="444"/>
      <c r="E326" s="440"/>
      <c r="F326" s="445"/>
      <c r="G326" s="139">
        <f>SUM(H326:Y326)</f>
        <v>0</v>
      </c>
      <c r="H326" s="140"/>
      <c r="I326" s="140"/>
      <c r="J326" s="140"/>
      <c r="K326" s="140"/>
      <c r="L326" s="140"/>
      <c r="M326" s="140"/>
      <c r="N326" s="140"/>
      <c r="O326" s="140"/>
      <c r="P326" s="254"/>
      <c r="Q326" s="254"/>
      <c r="R326" s="254"/>
      <c r="S326" s="254"/>
      <c r="T326" s="140"/>
      <c r="U326" s="150"/>
      <c r="V326" s="150"/>
      <c r="W326" s="150"/>
      <c r="X326" s="140"/>
      <c r="Y326" s="140"/>
      <c r="Z326" s="307"/>
    </row>
    <row r="327" spans="1:26" ht="12.75" hidden="1" customHeight="1">
      <c r="A327" s="314"/>
      <c r="B327" s="23" t="s">
        <v>30</v>
      </c>
      <c r="C327" s="441"/>
      <c r="D327" s="444"/>
      <c r="E327" s="440"/>
      <c r="F327" s="445"/>
      <c r="G327" s="140">
        <f>SUM(G328:G330)</f>
        <v>0</v>
      </c>
      <c r="H327" s="140"/>
      <c r="I327" s="140"/>
      <c r="J327" s="140"/>
      <c r="K327" s="140"/>
      <c r="L327" s="140"/>
      <c r="M327" s="140"/>
      <c r="N327" s="140"/>
      <c r="O327" s="140"/>
      <c r="P327" s="254"/>
      <c r="Q327" s="254"/>
      <c r="R327" s="254"/>
      <c r="S327" s="254"/>
      <c r="T327" s="140"/>
      <c r="U327" s="150"/>
      <c r="V327" s="150"/>
      <c r="W327" s="150"/>
      <c r="X327" s="140"/>
      <c r="Y327" s="140"/>
      <c r="Z327" s="307"/>
    </row>
    <row r="328" spans="1:26" ht="12.75" hidden="1" customHeight="1">
      <c r="A328" s="314"/>
      <c r="B328" s="44" t="s">
        <v>41</v>
      </c>
      <c r="C328" s="442"/>
      <c r="D328" s="440"/>
      <c r="E328" s="440"/>
      <c r="F328" s="440"/>
      <c r="G328" s="139">
        <f>SUM(H328:Y328)</f>
        <v>0</v>
      </c>
      <c r="H328" s="140"/>
      <c r="I328" s="140"/>
      <c r="J328" s="140"/>
      <c r="K328" s="140"/>
      <c r="L328" s="140"/>
      <c r="M328" s="140"/>
      <c r="N328" s="140"/>
      <c r="O328" s="140"/>
      <c r="P328" s="254"/>
      <c r="Q328" s="254"/>
      <c r="R328" s="254"/>
      <c r="S328" s="254"/>
      <c r="T328" s="140"/>
      <c r="U328" s="150"/>
      <c r="V328" s="150"/>
      <c r="W328" s="150"/>
      <c r="X328" s="140"/>
      <c r="Y328" s="140"/>
      <c r="Z328" s="393"/>
    </row>
    <row r="329" spans="1:26" ht="12.75" hidden="1" customHeight="1">
      <c r="A329" s="314"/>
      <c r="B329" s="41" t="s">
        <v>32</v>
      </c>
      <c r="C329" s="442"/>
      <c r="D329" s="440"/>
      <c r="E329" s="440"/>
      <c r="F329" s="440"/>
      <c r="G329" s="139">
        <f>SUM(H329:Y329)</f>
        <v>0</v>
      </c>
      <c r="H329" s="140"/>
      <c r="I329" s="140"/>
      <c r="J329" s="140"/>
      <c r="K329" s="140"/>
      <c r="L329" s="140"/>
      <c r="M329" s="140"/>
      <c r="N329" s="140"/>
      <c r="O329" s="140"/>
      <c r="P329" s="254"/>
      <c r="Q329" s="254"/>
      <c r="R329" s="254"/>
      <c r="S329" s="254"/>
      <c r="T329" s="140"/>
      <c r="U329" s="150"/>
      <c r="V329" s="150"/>
      <c r="W329" s="150"/>
      <c r="X329" s="140"/>
      <c r="Y329" s="140"/>
      <c r="Z329" s="393"/>
    </row>
    <row r="330" spans="1:26" ht="12.75" hidden="1" customHeight="1">
      <c r="A330" s="314"/>
      <c r="B330" s="41" t="s">
        <v>33</v>
      </c>
      <c r="C330" s="442"/>
      <c r="D330" s="440"/>
      <c r="E330" s="440"/>
      <c r="F330" s="440"/>
      <c r="G330" s="139">
        <f>SUM(H330:Y330)</f>
        <v>0</v>
      </c>
      <c r="H330" s="140"/>
      <c r="I330" s="140"/>
      <c r="J330" s="140"/>
      <c r="K330" s="140"/>
      <c r="L330" s="140"/>
      <c r="M330" s="140"/>
      <c r="N330" s="140"/>
      <c r="O330" s="140"/>
      <c r="P330" s="254"/>
      <c r="Q330" s="254"/>
      <c r="R330" s="254"/>
      <c r="S330" s="254"/>
      <c r="T330" s="140"/>
      <c r="U330" s="150"/>
      <c r="V330" s="150"/>
      <c r="W330" s="150"/>
      <c r="X330" s="140"/>
      <c r="Y330" s="140"/>
      <c r="Z330" s="393"/>
    </row>
    <row r="331" spans="1:26" ht="12.75" hidden="1" customHeight="1">
      <c r="A331" s="314"/>
      <c r="B331" s="23" t="s">
        <v>37</v>
      </c>
      <c r="C331" s="442"/>
      <c r="D331" s="440"/>
      <c r="E331" s="440"/>
      <c r="F331" s="440"/>
      <c r="G331" s="140">
        <f>SUM(H331:Y331)</f>
        <v>0</v>
      </c>
      <c r="H331" s="140"/>
      <c r="I331" s="140"/>
      <c r="J331" s="140"/>
      <c r="K331" s="140"/>
      <c r="L331" s="140"/>
      <c r="M331" s="140"/>
      <c r="N331" s="140"/>
      <c r="O331" s="140"/>
      <c r="P331" s="254"/>
      <c r="Q331" s="254"/>
      <c r="R331" s="254"/>
      <c r="S331" s="254"/>
      <c r="T331" s="140"/>
      <c r="U331" s="150"/>
      <c r="V331" s="150"/>
      <c r="W331" s="150"/>
      <c r="X331" s="140"/>
      <c r="Y331" s="140"/>
      <c r="Z331" s="393"/>
    </row>
    <row r="332" spans="1:26" ht="13.5" hidden="1" customHeight="1">
      <c r="A332" s="314"/>
      <c r="B332" s="23" t="s">
        <v>38</v>
      </c>
      <c r="C332" s="442"/>
      <c r="D332" s="440"/>
      <c r="E332" s="440"/>
      <c r="F332" s="440"/>
      <c r="G332" s="140">
        <f>SUM(H332:Y332)</f>
        <v>0</v>
      </c>
      <c r="H332" s="140"/>
      <c r="I332" s="140"/>
      <c r="J332" s="140"/>
      <c r="K332" s="140"/>
      <c r="L332" s="140"/>
      <c r="M332" s="140"/>
      <c r="N332" s="140"/>
      <c r="O332" s="140"/>
      <c r="P332" s="254"/>
      <c r="Q332" s="254"/>
      <c r="R332" s="254"/>
      <c r="S332" s="254"/>
      <c r="T332" s="140"/>
      <c r="U332" s="150"/>
      <c r="V332" s="150"/>
      <c r="W332" s="150"/>
      <c r="X332" s="140"/>
      <c r="Y332" s="140"/>
      <c r="Z332" s="394"/>
    </row>
    <row r="333" spans="1:26" ht="29.25" customHeight="1">
      <c r="A333" s="313" t="s">
        <v>96</v>
      </c>
      <c r="B333" s="70" t="s">
        <v>115</v>
      </c>
      <c r="C333" s="321" t="s">
        <v>43</v>
      </c>
      <c r="D333" s="304" t="s">
        <v>122</v>
      </c>
      <c r="E333" s="328">
        <v>40</v>
      </c>
      <c r="F333" s="325" t="s">
        <v>18</v>
      </c>
      <c r="G333" s="25">
        <f>G334+G336+G338+G342+G343</f>
        <v>10952.7</v>
      </c>
      <c r="H333" s="25">
        <f>H334+H336+H338+H342+H343</f>
        <v>0</v>
      </c>
      <c r="I333" s="26"/>
      <c r="J333" s="26"/>
      <c r="K333" s="26"/>
      <c r="L333" s="25">
        <f>L334+L336+L338+L342+L343</f>
        <v>995.7</v>
      </c>
      <c r="M333" s="26">
        <v>0</v>
      </c>
      <c r="N333" s="26">
        <v>0</v>
      </c>
      <c r="O333" s="26">
        <v>0</v>
      </c>
      <c r="P333" s="25">
        <f>P334+P336+P338+P342+P343</f>
        <v>9957</v>
      </c>
      <c r="Q333" s="26">
        <v>0</v>
      </c>
      <c r="R333" s="26">
        <v>0</v>
      </c>
      <c r="S333" s="26">
        <v>0</v>
      </c>
      <c r="T333" s="25">
        <f>H333+L333+P333</f>
        <v>10952.7</v>
      </c>
      <c r="U333" s="25">
        <f>I333+M333+Q333</f>
        <v>0</v>
      </c>
      <c r="V333" s="25">
        <f t="shared" ref="V333:W334" si="210">J333+N333+R333</f>
        <v>0</v>
      </c>
      <c r="W333" s="25">
        <f t="shared" si="210"/>
        <v>0</v>
      </c>
      <c r="X333" s="26"/>
      <c r="Y333" s="26"/>
      <c r="Z333" s="360"/>
    </row>
    <row r="334" spans="1:26">
      <c r="A334" s="314"/>
      <c r="B334" s="22" t="s">
        <v>28</v>
      </c>
      <c r="C334" s="322"/>
      <c r="D334" s="307"/>
      <c r="E334" s="393"/>
      <c r="F334" s="326"/>
      <c r="G334" s="323">
        <v>10952.7</v>
      </c>
      <c r="H334" s="323"/>
      <c r="I334" s="134"/>
      <c r="J334" s="134"/>
      <c r="K334" s="134"/>
      <c r="L334" s="323">
        <v>995.7</v>
      </c>
      <c r="M334" s="134"/>
      <c r="N334" s="134"/>
      <c r="O334" s="134"/>
      <c r="P334" s="323">
        <v>9957</v>
      </c>
      <c r="Q334" s="245"/>
      <c r="R334" s="245"/>
      <c r="S334" s="245"/>
      <c r="T334" s="323">
        <f>H334+L334+P334</f>
        <v>10952.7</v>
      </c>
      <c r="U334" s="323">
        <f>I334+M334+Q334</f>
        <v>0</v>
      </c>
      <c r="V334" s="323">
        <f t="shared" si="210"/>
        <v>0</v>
      </c>
      <c r="W334" s="323">
        <f t="shared" si="210"/>
        <v>0</v>
      </c>
      <c r="X334" s="323">
        <v>995.7</v>
      </c>
      <c r="Y334" s="323">
        <v>9957</v>
      </c>
      <c r="Z334" s="307"/>
    </row>
    <row r="335" spans="1:26">
      <c r="A335" s="314"/>
      <c r="B335" s="40" t="s">
        <v>27</v>
      </c>
      <c r="C335" s="322"/>
      <c r="D335" s="307"/>
      <c r="E335" s="393"/>
      <c r="F335" s="326"/>
      <c r="G335" s="394"/>
      <c r="H335" s="324"/>
      <c r="I335" s="136"/>
      <c r="J335" s="136"/>
      <c r="K335" s="136"/>
      <c r="L335" s="324"/>
      <c r="M335" s="136"/>
      <c r="N335" s="136"/>
      <c r="O335" s="136"/>
      <c r="P335" s="324"/>
      <c r="Q335" s="247"/>
      <c r="R335" s="247"/>
      <c r="S335" s="247"/>
      <c r="T335" s="324">
        <f t="shared" ref="T335:U335" si="211">H335+L335</f>
        <v>0</v>
      </c>
      <c r="U335" s="324">
        <f t="shared" si="211"/>
        <v>0</v>
      </c>
      <c r="V335" s="324">
        <f t="shared" ref="V335" si="212">J335+N335</f>
        <v>0</v>
      </c>
      <c r="W335" s="324">
        <f t="shared" ref="W335" si="213">K335+O335</f>
        <v>0</v>
      </c>
      <c r="X335" s="324"/>
      <c r="Y335" s="324"/>
      <c r="Z335" s="307"/>
    </row>
    <row r="336" spans="1:26">
      <c r="A336" s="314"/>
      <c r="B336" s="23" t="s">
        <v>29</v>
      </c>
      <c r="C336" s="322"/>
      <c r="D336" s="307"/>
      <c r="E336" s="393"/>
      <c r="F336" s="326"/>
      <c r="G336" s="150">
        <v>0</v>
      </c>
      <c r="H336" s="136"/>
      <c r="I336" s="136"/>
      <c r="J336" s="136"/>
      <c r="K336" s="136"/>
      <c r="L336" s="150">
        <v>0</v>
      </c>
      <c r="M336" s="136"/>
      <c r="N336" s="136"/>
      <c r="O336" s="136"/>
      <c r="P336" s="254">
        <v>0</v>
      </c>
      <c r="Q336" s="247"/>
      <c r="R336" s="247"/>
      <c r="S336" s="247"/>
      <c r="T336" s="150">
        <f>H336+L336</f>
        <v>0</v>
      </c>
      <c r="U336" s="257">
        <f>I336+M336+Q336</f>
        <v>0</v>
      </c>
      <c r="V336" s="150">
        <f>J336+N336</f>
        <v>0</v>
      </c>
      <c r="W336" s="150">
        <f>K336+O336</f>
        <v>0</v>
      </c>
      <c r="X336" s="136"/>
      <c r="Y336" s="136"/>
      <c r="Z336" s="307"/>
    </row>
    <row r="337" spans="1:26">
      <c r="A337" s="314"/>
      <c r="B337" s="44" t="s">
        <v>39</v>
      </c>
      <c r="C337" s="322"/>
      <c r="D337" s="307"/>
      <c r="E337" s="393"/>
      <c r="F337" s="326"/>
      <c r="G337" s="151">
        <v>0</v>
      </c>
      <c r="H337" s="136"/>
      <c r="I337" s="136"/>
      <c r="J337" s="136"/>
      <c r="K337" s="136"/>
      <c r="L337" s="151">
        <v>0</v>
      </c>
      <c r="M337" s="136"/>
      <c r="N337" s="136"/>
      <c r="O337" s="136"/>
      <c r="P337" s="253">
        <v>0</v>
      </c>
      <c r="Q337" s="247"/>
      <c r="R337" s="247"/>
      <c r="S337" s="247"/>
      <c r="T337" s="151">
        <f t="shared" ref="T337:W343" si="214">H337+L337</f>
        <v>0</v>
      </c>
      <c r="U337" s="258">
        <f>I337+M337+Q337</f>
        <v>0</v>
      </c>
      <c r="V337" s="151">
        <f t="shared" si="214"/>
        <v>0</v>
      </c>
      <c r="W337" s="151">
        <f t="shared" si="214"/>
        <v>0</v>
      </c>
      <c r="X337" s="136"/>
      <c r="Y337" s="136"/>
      <c r="Z337" s="307"/>
    </row>
    <row r="338" spans="1:26">
      <c r="A338" s="314"/>
      <c r="B338" s="23" t="s">
        <v>30</v>
      </c>
      <c r="C338" s="322"/>
      <c r="D338" s="307"/>
      <c r="E338" s="393"/>
      <c r="F338" s="326"/>
      <c r="G338" s="150">
        <v>0</v>
      </c>
      <c r="H338" s="136"/>
      <c r="I338" s="136"/>
      <c r="J338" s="136"/>
      <c r="K338" s="136"/>
      <c r="L338" s="150">
        <v>0</v>
      </c>
      <c r="M338" s="136"/>
      <c r="N338" s="136"/>
      <c r="O338" s="136"/>
      <c r="P338" s="254">
        <v>0</v>
      </c>
      <c r="Q338" s="247"/>
      <c r="R338" s="247"/>
      <c r="S338" s="247"/>
      <c r="T338" s="150">
        <f t="shared" si="214"/>
        <v>0</v>
      </c>
      <c r="U338" s="257">
        <f>I338+M338+Q338</f>
        <v>0</v>
      </c>
      <c r="V338" s="150">
        <f t="shared" si="214"/>
        <v>0</v>
      </c>
      <c r="W338" s="150">
        <f t="shared" si="214"/>
        <v>0</v>
      </c>
      <c r="X338" s="136"/>
      <c r="Y338" s="136"/>
      <c r="Z338" s="307"/>
    </row>
    <row r="339" spans="1:26">
      <c r="A339" s="314"/>
      <c r="B339" s="44" t="s">
        <v>41</v>
      </c>
      <c r="C339" s="391"/>
      <c r="D339" s="393"/>
      <c r="E339" s="393"/>
      <c r="F339" s="393"/>
      <c r="G339" s="151">
        <v>0</v>
      </c>
      <c r="H339" s="140"/>
      <c r="I339" s="140"/>
      <c r="J339" s="140"/>
      <c r="K339" s="140"/>
      <c r="L339" s="151">
        <v>0</v>
      </c>
      <c r="M339" s="140"/>
      <c r="N339" s="140"/>
      <c r="O339" s="140"/>
      <c r="P339" s="253">
        <v>0</v>
      </c>
      <c r="Q339" s="254"/>
      <c r="R339" s="254"/>
      <c r="S339" s="254"/>
      <c r="T339" s="151">
        <f t="shared" si="214"/>
        <v>0</v>
      </c>
      <c r="U339" s="258">
        <f>I339+M339+Q339</f>
        <v>0</v>
      </c>
      <c r="V339" s="151">
        <f t="shared" si="214"/>
        <v>0</v>
      </c>
      <c r="W339" s="151">
        <f t="shared" si="214"/>
        <v>0</v>
      </c>
      <c r="X339" s="140"/>
      <c r="Y339" s="140"/>
      <c r="Z339" s="393"/>
    </row>
    <row r="340" spans="1:26">
      <c r="A340" s="314"/>
      <c r="B340" s="41" t="s">
        <v>32</v>
      </c>
      <c r="C340" s="391"/>
      <c r="D340" s="393"/>
      <c r="E340" s="393"/>
      <c r="F340" s="393"/>
      <c r="G340" s="151">
        <v>0</v>
      </c>
      <c r="H340" s="140"/>
      <c r="I340" s="140"/>
      <c r="J340" s="140"/>
      <c r="K340" s="140"/>
      <c r="L340" s="151">
        <v>0</v>
      </c>
      <c r="M340" s="140"/>
      <c r="N340" s="140"/>
      <c r="O340" s="140"/>
      <c r="P340" s="253">
        <v>0</v>
      </c>
      <c r="Q340" s="254"/>
      <c r="R340" s="254"/>
      <c r="S340" s="254"/>
      <c r="T340" s="151">
        <f t="shared" si="214"/>
        <v>0</v>
      </c>
      <c r="U340" s="258">
        <f t="shared" ref="U340:U341" si="215">I340+M340+Q340</f>
        <v>0</v>
      </c>
      <c r="V340" s="151">
        <f t="shared" si="214"/>
        <v>0</v>
      </c>
      <c r="W340" s="151">
        <f t="shared" si="214"/>
        <v>0</v>
      </c>
      <c r="X340" s="140"/>
      <c r="Y340" s="140"/>
      <c r="Z340" s="393"/>
    </row>
    <row r="341" spans="1:26">
      <c r="A341" s="314"/>
      <c r="B341" s="41" t="s">
        <v>33</v>
      </c>
      <c r="C341" s="391"/>
      <c r="D341" s="393"/>
      <c r="E341" s="393"/>
      <c r="F341" s="393"/>
      <c r="G341" s="151">
        <v>0</v>
      </c>
      <c r="H341" s="140"/>
      <c r="I341" s="140"/>
      <c r="J341" s="140"/>
      <c r="K341" s="140"/>
      <c r="L341" s="151">
        <v>0</v>
      </c>
      <c r="M341" s="140"/>
      <c r="N341" s="140"/>
      <c r="O341" s="140"/>
      <c r="P341" s="253">
        <v>0</v>
      </c>
      <c r="Q341" s="254"/>
      <c r="R341" s="254"/>
      <c r="S341" s="254"/>
      <c r="T341" s="151">
        <f t="shared" si="214"/>
        <v>0</v>
      </c>
      <c r="U341" s="258">
        <f t="shared" si="215"/>
        <v>0</v>
      </c>
      <c r="V341" s="151">
        <f t="shared" si="214"/>
        <v>0</v>
      </c>
      <c r="W341" s="151">
        <f t="shared" si="214"/>
        <v>0</v>
      </c>
      <c r="X341" s="140"/>
      <c r="Y341" s="140"/>
      <c r="Z341" s="393"/>
    </row>
    <row r="342" spans="1:26">
      <c r="A342" s="314"/>
      <c r="B342" s="23" t="s">
        <v>37</v>
      </c>
      <c r="C342" s="391"/>
      <c r="D342" s="393"/>
      <c r="E342" s="393"/>
      <c r="F342" s="393"/>
      <c r="G342" s="150">
        <v>0</v>
      </c>
      <c r="H342" s="140"/>
      <c r="I342" s="140"/>
      <c r="J342" s="140"/>
      <c r="K342" s="140"/>
      <c r="L342" s="150">
        <v>0</v>
      </c>
      <c r="M342" s="140"/>
      <c r="N342" s="140"/>
      <c r="O342" s="140"/>
      <c r="P342" s="254">
        <v>0</v>
      </c>
      <c r="Q342" s="254"/>
      <c r="R342" s="254"/>
      <c r="S342" s="254"/>
      <c r="T342" s="150">
        <f t="shared" si="214"/>
        <v>0</v>
      </c>
      <c r="U342" s="257">
        <f>I342+M342+Q342</f>
        <v>0</v>
      </c>
      <c r="V342" s="150">
        <f t="shared" si="214"/>
        <v>0</v>
      </c>
      <c r="W342" s="150">
        <f t="shared" si="214"/>
        <v>0</v>
      </c>
      <c r="X342" s="140"/>
      <c r="Y342" s="140"/>
      <c r="Z342" s="393"/>
    </row>
    <row r="343" spans="1:26">
      <c r="A343" s="314"/>
      <c r="B343" s="23" t="s">
        <v>38</v>
      </c>
      <c r="C343" s="392"/>
      <c r="D343" s="394"/>
      <c r="E343" s="394"/>
      <c r="F343" s="394"/>
      <c r="G343" s="150">
        <v>0</v>
      </c>
      <c r="H343" s="140"/>
      <c r="I343" s="140"/>
      <c r="J343" s="140"/>
      <c r="K343" s="140"/>
      <c r="L343" s="150">
        <v>0</v>
      </c>
      <c r="M343" s="140"/>
      <c r="N343" s="140"/>
      <c r="O343" s="140"/>
      <c r="P343" s="254">
        <v>0</v>
      </c>
      <c r="Q343" s="254"/>
      <c r="R343" s="254"/>
      <c r="S343" s="254"/>
      <c r="T343" s="150">
        <f t="shared" si="214"/>
        <v>0</v>
      </c>
      <c r="U343" s="257">
        <f>I343+M343+Q343</f>
        <v>0</v>
      </c>
      <c r="V343" s="150">
        <f t="shared" si="214"/>
        <v>0</v>
      </c>
      <c r="W343" s="150">
        <f t="shared" si="214"/>
        <v>0</v>
      </c>
      <c r="X343" s="140"/>
      <c r="Y343" s="140"/>
      <c r="Z343" s="394"/>
    </row>
    <row r="344" spans="1:26" ht="33.75" customHeight="1">
      <c r="A344" s="313" t="s">
        <v>97</v>
      </c>
      <c r="B344" s="69" t="s">
        <v>114</v>
      </c>
      <c r="C344" s="321" t="s">
        <v>43</v>
      </c>
      <c r="D344" s="304" t="s">
        <v>123</v>
      </c>
      <c r="E344" s="328">
        <v>40</v>
      </c>
      <c r="F344" s="325" t="s">
        <v>18</v>
      </c>
      <c r="G344" s="25">
        <f>G345+G347+G349+G353+G354</f>
        <v>10379.6</v>
      </c>
      <c r="H344" s="25">
        <f>H345+H347+H349+H353+H354</f>
        <v>0</v>
      </c>
      <c r="I344" s="26"/>
      <c r="J344" s="26"/>
      <c r="K344" s="26"/>
      <c r="L344" s="25">
        <f>L345+L347+L349+L353+L354</f>
        <v>943.6</v>
      </c>
      <c r="M344" s="26">
        <v>0</v>
      </c>
      <c r="N344" s="26">
        <v>0</v>
      </c>
      <c r="O344" s="26">
        <v>0</v>
      </c>
      <c r="P344" s="25">
        <f>P345+P347+P349+P353+P354</f>
        <v>9436</v>
      </c>
      <c r="Q344" s="26">
        <v>0</v>
      </c>
      <c r="R344" s="26">
        <v>0</v>
      </c>
      <c r="S344" s="26">
        <v>0</v>
      </c>
      <c r="T344" s="25">
        <f>H344+L344+P344</f>
        <v>10379.6</v>
      </c>
      <c r="U344" s="25">
        <f>I344+M344+Q344</f>
        <v>0</v>
      </c>
      <c r="V344" s="25">
        <f t="shared" ref="V344:W345" si="216">J344+N344+R344</f>
        <v>0</v>
      </c>
      <c r="W344" s="25">
        <f t="shared" si="216"/>
        <v>0</v>
      </c>
      <c r="X344" s="26"/>
      <c r="Y344" s="26"/>
      <c r="Z344" s="360"/>
    </row>
    <row r="345" spans="1:26">
      <c r="A345" s="314"/>
      <c r="B345" s="22" t="s">
        <v>127</v>
      </c>
      <c r="C345" s="322"/>
      <c r="D345" s="307"/>
      <c r="E345" s="393"/>
      <c r="F345" s="326"/>
      <c r="G345" s="323">
        <v>10379.6</v>
      </c>
      <c r="H345" s="323"/>
      <c r="I345" s="134"/>
      <c r="J345" s="134"/>
      <c r="K345" s="134"/>
      <c r="L345" s="323">
        <v>943.6</v>
      </c>
      <c r="M345" s="134"/>
      <c r="N345" s="134"/>
      <c r="O345" s="134"/>
      <c r="P345" s="323">
        <v>9436</v>
      </c>
      <c r="Q345" s="245"/>
      <c r="R345" s="245"/>
      <c r="S345" s="245"/>
      <c r="T345" s="323">
        <f>H345+L345+P345</f>
        <v>10379.6</v>
      </c>
      <c r="U345" s="323">
        <f>I345+M345+Q345</f>
        <v>0</v>
      </c>
      <c r="V345" s="323">
        <f t="shared" si="216"/>
        <v>0</v>
      </c>
      <c r="W345" s="323">
        <f t="shared" si="216"/>
        <v>0</v>
      </c>
      <c r="X345" s="323">
        <v>943.6</v>
      </c>
      <c r="Y345" s="323">
        <v>9436</v>
      </c>
      <c r="Z345" s="307"/>
    </row>
    <row r="346" spans="1:26">
      <c r="A346" s="314"/>
      <c r="B346" s="40" t="s">
        <v>27</v>
      </c>
      <c r="C346" s="322"/>
      <c r="D346" s="307"/>
      <c r="E346" s="393"/>
      <c r="F346" s="326"/>
      <c r="G346" s="394"/>
      <c r="H346" s="324"/>
      <c r="I346" s="136"/>
      <c r="J346" s="136"/>
      <c r="K346" s="136"/>
      <c r="L346" s="324"/>
      <c r="M346" s="136"/>
      <c r="N346" s="136"/>
      <c r="O346" s="136"/>
      <c r="P346" s="324"/>
      <c r="Q346" s="247"/>
      <c r="R346" s="247"/>
      <c r="S346" s="247"/>
      <c r="T346" s="324">
        <f t="shared" ref="T346:U346" si="217">H346+L346</f>
        <v>0</v>
      </c>
      <c r="U346" s="324">
        <f t="shared" si="217"/>
        <v>0</v>
      </c>
      <c r="V346" s="324">
        <f t="shared" ref="V346" si="218">J346+N346</f>
        <v>0</v>
      </c>
      <c r="W346" s="324">
        <f t="shared" ref="W346" si="219">K346+O346</f>
        <v>0</v>
      </c>
      <c r="X346" s="324"/>
      <c r="Y346" s="324"/>
      <c r="Z346" s="307"/>
    </row>
    <row r="347" spans="1:26">
      <c r="A347" s="314"/>
      <c r="B347" s="23" t="s">
        <v>29</v>
      </c>
      <c r="C347" s="322"/>
      <c r="D347" s="307"/>
      <c r="E347" s="393"/>
      <c r="F347" s="326"/>
      <c r="G347" s="150">
        <v>0</v>
      </c>
      <c r="H347" s="136"/>
      <c r="I347" s="136"/>
      <c r="J347" s="136"/>
      <c r="K347" s="136"/>
      <c r="L347" s="150">
        <v>0</v>
      </c>
      <c r="M347" s="136"/>
      <c r="N347" s="136"/>
      <c r="O347" s="136"/>
      <c r="P347" s="254">
        <v>0</v>
      </c>
      <c r="Q347" s="247"/>
      <c r="R347" s="247"/>
      <c r="S347" s="247"/>
      <c r="T347" s="150">
        <f>H347+L347</f>
        <v>0</v>
      </c>
      <c r="U347" s="257">
        <f>I347+M347+Q347</f>
        <v>0</v>
      </c>
      <c r="V347" s="150">
        <f>J347+N347</f>
        <v>0</v>
      </c>
      <c r="W347" s="150">
        <f>K347+O347</f>
        <v>0</v>
      </c>
      <c r="X347" s="136"/>
      <c r="Y347" s="136"/>
      <c r="Z347" s="307"/>
    </row>
    <row r="348" spans="1:26">
      <c r="A348" s="314"/>
      <c r="B348" s="44" t="s">
        <v>39</v>
      </c>
      <c r="C348" s="322"/>
      <c r="D348" s="307"/>
      <c r="E348" s="393"/>
      <c r="F348" s="326"/>
      <c r="G348" s="151">
        <v>0</v>
      </c>
      <c r="H348" s="136"/>
      <c r="I348" s="136"/>
      <c r="J348" s="136"/>
      <c r="K348" s="136"/>
      <c r="L348" s="151">
        <v>0</v>
      </c>
      <c r="M348" s="136"/>
      <c r="N348" s="136"/>
      <c r="O348" s="136"/>
      <c r="P348" s="253">
        <v>0</v>
      </c>
      <c r="Q348" s="247"/>
      <c r="R348" s="247"/>
      <c r="S348" s="247"/>
      <c r="T348" s="151">
        <f t="shared" ref="T348:W354" si="220">H348+L348</f>
        <v>0</v>
      </c>
      <c r="U348" s="258">
        <f>I348+M348+Q348</f>
        <v>0</v>
      </c>
      <c r="V348" s="151">
        <f t="shared" si="220"/>
        <v>0</v>
      </c>
      <c r="W348" s="151">
        <f t="shared" si="220"/>
        <v>0</v>
      </c>
      <c r="X348" s="136"/>
      <c r="Y348" s="136"/>
      <c r="Z348" s="307"/>
    </row>
    <row r="349" spans="1:26">
      <c r="A349" s="314"/>
      <c r="B349" s="23" t="s">
        <v>30</v>
      </c>
      <c r="C349" s="322"/>
      <c r="D349" s="307"/>
      <c r="E349" s="393"/>
      <c r="F349" s="326"/>
      <c r="G349" s="150">
        <v>0</v>
      </c>
      <c r="H349" s="136"/>
      <c r="I349" s="136"/>
      <c r="J349" s="136"/>
      <c r="K349" s="136"/>
      <c r="L349" s="150">
        <v>0</v>
      </c>
      <c r="M349" s="136"/>
      <c r="N349" s="136"/>
      <c r="O349" s="136"/>
      <c r="P349" s="254">
        <v>0</v>
      </c>
      <c r="Q349" s="247"/>
      <c r="R349" s="247"/>
      <c r="S349" s="247"/>
      <c r="T349" s="150">
        <f t="shared" si="220"/>
        <v>0</v>
      </c>
      <c r="U349" s="257">
        <f>I349+M349+Q349</f>
        <v>0</v>
      </c>
      <c r="V349" s="150">
        <f t="shared" si="220"/>
        <v>0</v>
      </c>
      <c r="W349" s="150">
        <f t="shared" si="220"/>
        <v>0</v>
      </c>
      <c r="X349" s="136"/>
      <c r="Y349" s="136"/>
      <c r="Z349" s="307"/>
    </row>
    <row r="350" spans="1:26">
      <c r="A350" s="314"/>
      <c r="B350" s="44" t="s">
        <v>41</v>
      </c>
      <c r="C350" s="391"/>
      <c r="D350" s="393"/>
      <c r="E350" s="393"/>
      <c r="F350" s="393"/>
      <c r="G350" s="151">
        <v>0</v>
      </c>
      <c r="H350" s="140"/>
      <c r="I350" s="140"/>
      <c r="J350" s="140"/>
      <c r="K350" s="140"/>
      <c r="L350" s="151">
        <v>0</v>
      </c>
      <c r="M350" s="140"/>
      <c r="N350" s="140"/>
      <c r="O350" s="140"/>
      <c r="P350" s="253">
        <v>0</v>
      </c>
      <c r="Q350" s="254"/>
      <c r="R350" s="254"/>
      <c r="S350" s="254"/>
      <c r="T350" s="151">
        <f t="shared" si="220"/>
        <v>0</v>
      </c>
      <c r="U350" s="258">
        <f>I350+M350+Q350</f>
        <v>0</v>
      </c>
      <c r="V350" s="151">
        <f t="shared" si="220"/>
        <v>0</v>
      </c>
      <c r="W350" s="151">
        <f t="shared" si="220"/>
        <v>0</v>
      </c>
      <c r="X350" s="140"/>
      <c r="Y350" s="140"/>
      <c r="Z350" s="393"/>
    </row>
    <row r="351" spans="1:26">
      <c r="A351" s="314"/>
      <c r="B351" s="41" t="s">
        <v>32</v>
      </c>
      <c r="C351" s="391"/>
      <c r="D351" s="393"/>
      <c r="E351" s="393"/>
      <c r="F351" s="393"/>
      <c r="G351" s="151">
        <v>0</v>
      </c>
      <c r="H351" s="140"/>
      <c r="I351" s="140"/>
      <c r="J351" s="140"/>
      <c r="K351" s="140"/>
      <c r="L351" s="151">
        <v>0</v>
      </c>
      <c r="M351" s="140"/>
      <c r="N351" s="140"/>
      <c r="O351" s="140"/>
      <c r="P351" s="253">
        <v>0</v>
      </c>
      <c r="Q351" s="254"/>
      <c r="R351" s="254"/>
      <c r="S351" s="254"/>
      <c r="T351" s="151">
        <f t="shared" si="220"/>
        <v>0</v>
      </c>
      <c r="U351" s="258">
        <f t="shared" ref="U351:U352" si="221">I351+M351+Q351</f>
        <v>0</v>
      </c>
      <c r="V351" s="151">
        <f t="shared" si="220"/>
        <v>0</v>
      </c>
      <c r="W351" s="151">
        <f t="shared" si="220"/>
        <v>0</v>
      </c>
      <c r="X351" s="140"/>
      <c r="Y351" s="140"/>
      <c r="Z351" s="393"/>
    </row>
    <row r="352" spans="1:26">
      <c r="A352" s="314"/>
      <c r="B352" s="41" t="s">
        <v>33</v>
      </c>
      <c r="C352" s="391"/>
      <c r="D352" s="393"/>
      <c r="E352" s="393"/>
      <c r="F352" s="393"/>
      <c r="G352" s="151">
        <v>0</v>
      </c>
      <c r="H352" s="140"/>
      <c r="I352" s="140"/>
      <c r="J352" s="140"/>
      <c r="K352" s="140"/>
      <c r="L352" s="151">
        <v>0</v>
      </c>
      <c r="M352" s="140"/>
      <c r="N352" s="140"/>
      <c r="O352" s="140"/>
      <c r="P352" s="253">
        <v>0</v>
      </c>
      <c r="Q352" s="254"/>
      <c r="R352" s="254"/>
      <c r="S352" s="254"/>
      <c r="T352" s="151">
        <f t="shared" si="220"/>
        <v>0</v>
      </c>
      <c r="U352" s="258">
        <f t="shared" si="221"/>
        <v>0</v>
      </c>
      <c r="V352" s="151">
        <f t="shared" si="220"/>
        <v>0</v>
      </c>
      <c r="W352" s="151">
        <f t="shared" si="220"/>
        <v>0</v>
      </c>
      <c r="X352" s="140"/>
      <c r="Y352" s="140"/>
      <c r="Z352" s="393"/>
    </row>
    <row r="353" spans="1:26">
      <c r="A353" s="314"/>
      <c r="B353" s="23" t="s">
        <v>37</v>
      </c>
      <c r="C353" s="391"/>
      <c r="D353" s="393"/>
      <c r="E353" s="393"/>
      <c r="F353" s="393"/>
      <c r="G353" s="150">
        <v>0</v>
      </c>
      <c r="H353" s="140"/>
      <c r="I353" s="140"/>
      <c r="J353" s="140"/>
      <c r="K353" s="140"/>
      <c r="L353" s="150">
        <v>0</v>
      </c>
      <c r="M353" s="140"/>
      <c r="N353" s="140"/>
      <c r="O353" s="140"/>
      <c r="P353" s="254">
        <v>0</v>
      </c>
      <c r="Q353" s="254"/>
      <c r="R353" s="254"/>
      <c r="S353" s="254"/>
      <c r="T353" s="150">
        <f t="shared" si="220"/>
        <v>0</v>
      </c>
      <c r="U353" s="257">
        <f>I353+M353+Q353</f>
        <v>0</v>
      </c>
      <c r="V353" s="150">
        <f t="shared" si="220"/>
        <v>0</v>
      </c>
      <c r="W353" s="150">
        <f t="shared" si="220"/>
        <v>0</v>
      </c>
      <c r="X353" s="140"/>
      <c r="Y353" s="140"/>
      <c r="Z353" s="393"/>
    </row>
    <row r="354" spans="1:26">
      <c r="A354" s="314"/>
      <c r="B354" s="23" t="s">
        <v>38</v>
      </c>
      <c r="C354" s="392"/>
      <c r="D354" s="394"/>
      <c r="E354" s="394"/>
      <c r="F354" s="394"/>
      <c r="G354" s="150">
        <v>0</v>
      </c>
      <c r="H354" s="140"/>
      <c r="I354" s="140"/>
      <c r="J354" s="140"/>
      <c r="K354" s="140"/>
      <c r="L354" s="150">
        <v>0</v>
      </c>
      <c r="M354" s="140"/>
      <c r="N354" s="140"/>
      <c r="O354" s="140"/>
      <c r="P354" s="254">
        <v>0</v>
      </c>
      <c r="Q354" s="254"/>
      <c r="R354" s="254"/>
      <c r="S354" s="254"/>
      <c r="T354" s="150">
        <f t="shared" si="220"/>
        <v>0</v>
      </c>
      <c r="U354" s="257">
        <f>I354+M354+Q354</f>
        <v>0</v>
      </c>
      <c r="V354" s="150">
        <f t="shared" si="220"/>
        <v>0</v>
      </c>
      <c r="W354" s="150">
        <f t="shared" si="220"/>
        <v>0</v>
      </c>
      <c r="X354" s="140"/>
      <c r="Y354" s="140"/>
      <c r="Z354" s="394"/>
    </row>
    <row r="355" spans="1:26" ht="25.5">
      <c r="A355" s="313" t="s">
        <v>98</v>
      </c>
      <c r="B355" s="53" t="s">
        <v>139</v>
      </c>
      <c r="C355" s="321" t="s">
        <v>58</v>
      </c>
      <c r="D355" s="304" t="s">
        <v>51</v>
      </c>
      <c r="E355" s="328">
        <v>1.5</v>
      </c>
      <c r="F355" s="325" t="s">
        <v>18</v>
      </c>
      <c r="G355" s="25">
        <f>G356+G361+G363+G367+G368</f>
        <v>1003.7</v>
      </c>
      <c r="H355" s="25">
        <f>H356+H361+H363+H367+H368</f>
        <v>1003.7</v>
      </c>
      <c r="I355" s="25">
        <f>I356+I361+I363+I367+I368</f>
        <v>865.11799999999994</v>
      </c>
      <c r="J355" s="25">
        <f>J356+J361+J363+J367+J368</f>
        <v>865.11799999999994</v>
      </c>
      <c r="K355" s="25">
        <f>K356+K361+K363+K367+K368</f>
        <v>865.11799999999994</v>
      </c>
      <c r="L355" s="25">
        <v>0</v>
      </c>
      <c r="M355" s="25">
        <f>M356+M361+M363+M367+M368</f>
        <v>498.64100000000002</v>
      </c>
      <c r="N355" s="25">
        <f>N356+N361+N363+N367+N368</f>
        <v>303.64</v>
      </c>
      <c r="O355" s="25">
        <f>O356+O361+O363+O367+O368</f>
        <v>303.64</v>
      </c>
      <c r="P355" s="25">
        <v>0</v>
      </c>
      <c r="Q355" s="25">
        <f>Q356+Q361+Q363+Q367+Q368</f>
        <v>0</v>
      </c>
      <c r="R355" s="25">
        <f>R356+R361+R363+R367+R368</f>
        <v>0</v>
      </c>
      <c r="S355" s="25">
        <f>S356+S361+S363+S367+S368</f>
        <v>0</v>
      </c>
      <c r="T355" s="25">
        <f>T356+T361+T363+T367+T368</f>
        <v>1003.7</v>
      </c>
      <c r="U355" s="25">
        <f>I355+M355+Q355</f>
        <v>1363.759</v>
      </c>
      <c r="V355" s="25">
        <f t="shared" ref="V355:W356" si="222">J355+N355+R355</f>
        <v>1168.7579999999998</v>
      </c>
      <c r="W355" s="25">
        <f t="shared" si="222"/>
        <v>1168.7579999999998</v>
      </c>
      <c r="X355" s="26"/>
      <c r="Y355" s="26"/>
      <c r="Z355" s="360"/>
    </row>
    <row r="356" spans="1:26">
      <c r="A356" s="314"/>
      <c r="B356" s="22" t="s">
        <v>127</v>
      </c>
      <c r="C356" s="322"/>
      <c r="D356" s="307"/>
      <c r="E356" s="393"/>
      <c r="F356" s="326"/>
      <c r="G356" s="323">
        <f>SUM(H356)</f>
        <v>1003.7</v>
      </c>
      <c r="H356" s="323">
        <v>1003.7</v>
      </c>
      <c r="I356" s="323">
        <f>SUM(I358:I360)</f>
        <v>865.11799999999994</v>
      </c>
      <c r="J356" s="323">
        <f t="shared" ref="J356:K356" si="223">SUM(J358:J360)</f>
        <v>865.11799999999994</v>
      </c>
      <c r="K356" s="323">
        <f t="shared" si="223"/>
        <v>865.11799999999994</v>
      </c>
      <c r="L356" s="389">
        <v>0</v>
      </c>
      <c r="M356" s="323">
        <f>SUM(M358:M360)</f>
        <v>498.64100000000002</v>
      </c>
      <c r="N356" s="323">
        <f t="shared" ref="N356:O356" si="224">SUM(N358:N360)</f>
        <v>303.64</v>
      </c>
      <c r="O356" s="323">
        <f t="shared" si="224"/>
        <v>303.64</v>
      </c>
      <c r="P356" s="389">
        <v>0</v>
      </c>
      <c r="Q356" s="323">
        <f>SUM(Q358:Q360)</f>
        <v>0</v>
      </c>
      <c r="R356" s="323">
        <f t="shared" ref="R356:S356" si="225">SUM(R358:R360)</f>
        <v>0</v>
      </c>
      <c r="S356" s="323">
        <f t="shared" si="225"/>
        <v>0</v>
      </c>
      <c r="T356" s="323">
        <f t="shared" ref="T356:U357" si="226">H356+L356</f>
        <v>1003.7</v>
      </c>
      <c r="U356" s="323">
        <f>I356+M356+Q356</f>
        <v>1363.759</v>
      </c>
      <c r="V356" s="323">
        <f t="shared" si="222"/>
        <v>1168.7579999999998</v>
      </c>
      <c r="W356" s="323">
        <f t="shared" si="222"/>
        <v>1168.7579999999998</v>
      </c>
      <c r="X356" s="323"/>
      <c r="Y356" s="323"/>
      <c r="Z356" s="307"/>
    </row>
    <row r="357" spans="1:26">
      <c r="A357" s="314"/>
      <c r="B357" s="40" t="s">
        <v>27</v>
      </c>
      <c r="C357" s="322"/>
      <c r="D357" s="307"/>
      <c r="E357" s="393"/>
      <c r="F357" s="326"/>
      <c r="G357" s="394"/>
      <c r="H357" s="324"/>
      <c r="I357" s="324"/>
      <c r="J357" s="324"/>
      <c r="K357" s="324"/>
      <c r="L357" s="309"/>
      <c r="M357" s="324"/>
      <c r="N357" s="324"/>
      <c r="O357" s="324"/>
      <c r="P357" s="309"/>
      <c r="Q357" s="324"/>
      <c r="R357" s="324"/>
      <c r="S357" s="324"/>
      <c r="T357" s="324">
        <f t="shared" si="226"/>
        <v>0</v>
      </c>
      <c r="U357" s="324">
        <f t="shared" si="226"/>
        <v>0</v>
      </c>
      <c r="V357" s="324">
        <f t="shared" ref="V357" si="227">J357+N357</f>
        <v>0</v>
      </c>
      <c r="W357" s="324">
        <f t="shared" ref="W357" si="228">K357+O357</f>
        <v>0</v>
      </c>
      <c r="X357" s="324"/>
      <c r="Y357" s="324"/>
      <c r="Z357" s="307"/>
    </row>
    <row r="358" spans="1:26" s="169" customFormat="1" ht="12.75" hidden="1" customHeight="1">
      <c r="A358" s="314"/>
      <c r="B358" s="115" t="s">
        <v>170</v>
      </c>
      <c r="C358" s="322"/>
      <c r="D358" s="307"/>
      <c r="E358" s="393"/>
      <c r="F358" s="326"/>
      <c r="G358" s="168"/>
      <c r="H358" s="117"/>
      <c r="I358" s="117">
        <v>676.58299999999997</v>
      </c>
      <c r="J358" s="117">
        <v>676.58299999999997</v>
      </c>
      <c r="K358" s="117">
        <v>676.58299999999997</v>
      </c>
      <c r="L358" s="117"/>
      <c r="M358" s="117">
        <f>295+70</f>
        <v>365</v>
      </c>
      <c r="N358" s="117">
        <f>80+90</f>
        <v>170</v>
      </c>
      <c r="O358" s="117">
        <f>80+90</f>
        <v>170</v>
      </c>
      <c r="P358" s="117"/>
      <c r="Q358" s="117"/>
      <c r="R358" s="117"/>
      <c r="S358" s="117"/>
      <c r="T358" s="230">
        <f>H358+L358</f>
        <v>0</v>
      </c>
      <c r="U358" s="118">
        <f>I358+M358+Q358</f>
        <v>1041.5830000000001</v>
      </c>
      <c r="V358" s="230">
        <f>J358+N358</f>
        <v>846.58299999999997</v>
      </c>
      <c r="W358" s="230">
        <f>K358+O358</f>
        <v>846.58299999999997</v>
      </c>
      <c r="X358" s="117"/>
      <c r="Y358" s="117"/>
      <c r="Z358" s="307"/>
    </row>
    <row r="359" spans="1:26" s="169" customFormat="1" ht="12.75" hidden="1" customHeight="1">
      <c r="A359" s="314"/>
      <c r="B359" s="115" t="s">
        <v>228</v>
      </c>
      <c r="C359" s="322"/>
      <c r="D359" s="307"/>
      <c r="E359" s="393"/>
      <c r="F359" s="326"/>
      <c r="G359" s="168"/>
      <c r="H359" s="117"/>
      <c r="I359" s="117"/>
      <c r="J359" s="117"/>
      <c r="K359" s="117"/>
      <c r="L359" s="117"/>
      <c r="M359" s="117">
        <v>60.56</v>
      </c>
      <c r="N359" s="117">
        <v>60.56</v>
      </c>
      <c r="O359" s="117">
        <v>60.56</v>
      </c>
      <c r="P359" s="117"/>
      <c r="Q359" s="117"/>
      <c r="R359" s="117"/>
      <c r="S359" s="117"/>
      <c r="T359" s="230"/>
      <c r="U359" s="118">
        <f t="shared" ref="U359:U360" si="229">I359+M359+Q359</f>
        <v>60.56</v>
      </c>
      <c r="V359" s="230"/>
      <c r="W359" s="230"/>
      <c r="X359" s="117"/>
      <c r="Y359" s="117"/>
      <c r="Z359" s="307"/>
    </row>
    <row r="360" spans="1:26" s="169" customFormat="1" ht="12.75" hidden="1" customHeight="1">
      <c r="A360" s="314"/>
      <c r="B360" s="115" t="s">
        <v>171</v>
      </c>
      <c r="C360" s="322"/>
      <c r="D360" s="307"/>
      <c r="E360" s="393"/>
      <c r="F360" s="326"/>
      <c r="G360" s="168"/>
      <c r="H360" s="117"/>
      <c r="I360" s="117">
        <v>188.535</v>
      </c>
      <c r="J360" s="117">
        <v>188.535</v>
      </c>
      <c r="K360" s="117">
        <v>188.535</v>
      </c>
      <c r="L360" s="117"/>
      <c r="M360" s="117">
        <f>49.481+23.6</f>
        <v>73.081000000000003</v>
      </c>
      <c r="N360" s="117">
        <f>14.844+34.636+16.52+7.08</f>
        <v>73.08</v>
      </c>
      <c r="O360" s="117">
        <f>14.844+34.636+16.52+7.08</f>
        <v>73.08</v>
      </c>
      <c r="P360" s="117"/>
      <c r="Q360" s="117"/>
      <c r="R360" s="117"/>
      <c r="S360" s="117"/>
      <c r="T360" s="231">
        <f t="shared" ref="T360:W368" si="230">H360+L360</f>
        <v>0</v>
      </c>
      <c r="U360" s="118">
        <f t="shared" si="229"/>
        <v>261.61599999999999</v>
      </c>
      <c r="V360" s="231">
        <f t="shared" si="230"/>
        <v>261.61500000000001</v>
      </c>
      <c r="W360" s="231">
        <f t="shared" si="230"/>
        <v>261.61500000000001</v>
      </c>
      <c r="X360" s="117"/>
      <c r="Y360" s="117"/>
      <c r="Z360" s="307"/>
    </row>
    <row r="361" spans="1:26">
      <c r="A361" s="314"/>
      <c r="B361" s="23" t="s">
        <v>29</v>
      </c>
      <c r="C361" s="322"/>
      <c r="D361" s="307"/>
      <c r="E361" s="393"/>
      <c r="F361" s="326"/>
      <c r="G361" s="150">
        <v>0</v>
      </c>
      <c r="H361" s="136"/>
      <c r="I361" s="136"/>
      <c r="J361" s="136"/>
      <c r="K361" s="136"/>
      <c r="L361" s="150">
        <v>0</v>
      </c>
      <c r="M361" s="136"/>
      <c r="N361" s="136"/>
      <c r="O361" s="136"/>
      <c r="P361" s="254">
        <v>0</v>
      </c>
      <c r="Q361" s="247"/>
      <c r="R361" s="247"/>
      <c r="S361" s="247"/>
      <c r="T361" s="150">
        <f t="shared" si="230"/>
        <v>0</v>
      </c>
      <c r="U361" s="257">
        <f>I361+M361+Q361</f>
        <v>0</v>
      </c>
      <c r="V361" s="150">
        <f t="shared" si="230"/>
        <v>0</v>
      </c>
      <c r="W361" s="150">
        <f t="shared" si="230"/>
        <v>0</v>
      </c>
      <c r="X361" s="136"/>
      <c r="Y361" s="136"/>
      <c r="Z361" s="307"/>
    </row>
    <row r="362" spans="1:26">
      <c r="A362" s="314"/>
      <c r="B362" s="44" t="s">
        <v>39</v>
      </c>
      <c r="C362" s="322"/>
      <c r="D362" s="307"/>
      <c r="E362" s="393"/>
      <c r="F362" s="326"/>
      <c r="G362" s="151">
        <v>0</v>
      </c>
      <c r="H362" s="136"/>
      <c r="I362" s="136"/>
      <c r="J362" s="136"/>
      <c r="K362" s="136"/>
      <c r="L362" s="151">
        <v>0</v>
      </c>
      <c r="M362" s="136"/>
      <c r="N362" s="136"/>
      <c r="O362" s="136"/>
      <c r="P362" s="253">
        <v>0</v>
      </c>
      <c r="Q362" s="247"/>
      <c r="R362" s="247"/>
      <c r="S362" s="247"/>
      <c r="T362" s="151">
        <f t="shared" si="230"/>
        <v>0</v>
      </c>
      <c r="U362" s="258">
        <f>I362+M362+Q362</f>
        <v>0</v>
      </c>
      <c r="V362" s="151">
        <f t="shared" si="230"/>
        <v>0</v>
      </c>
      <c r="W362" s="151">
        <f t="shared" si="230"/>
        <v>0</v>
      </c>
      <c r="X362" s="136"/>
      <c r="Y362" s="136"/>
      <c r="Z362" s="307"/>
    </row>
    <row r="363" spans="1:26">
      <c r="A363" s="314"/>
      <c r="B363" s="23" t="s">
        <v>30</v>
      </c>
      <c r="C363" s="322"/>
      <c r="D363" s="307"/>
      <c r="E363" s="393"/>
      <c r="F363" s="326"/>
      <c r="G363" s="150">
        <v>0</v>
      </c>
      <c r="H363" s="136"/>
      <c r="I363" s="136"/>
      <c r="J363" s="136"/>
      <c r="K363" s="136"/>
      <c r="L363" s="150">
        <v>0</v>
      </c>
      <c r="M363" s="136"/>
      <c r="N363" s="136"/>
      <c r="O363" s="136"/>
      <c r="P363" s="254">
        <v>0</v>
      </c>
      <c r="Q363" s="247"/>
      <c r="R363" s="247"/>
      <c r="S363" s="247"/>
      <c r="T363" s="150">
        <f t="shared" si="230"/>
        <v>0</v>
      </c>
      <c r="U363" s="257">
        <f>I363+M363+Q363</f>
        <v>0</v>
      </c>
      <c r="V363" s="150">
        <f t="shared" si="230"/>
        <v>0</v>
      </c>
      <c r="W363" s="150">
        <f t="shared" si="230"/>
        <v>0</v>
      </c>
      <c r="X363" s="136"/>
      <c r="Y363" s="136"/>
      <c r="Z363" s="307"/>
    </row>
    <row r="364" spans="1:26">
      <c r="A364" s="314"/>
      <c r="B364" s="44" t="s">
        <v>41</v>
      </c>
      <c r="C364" s="391"/>
      <c r="D364" s="393"/>
      <c r="E364" s="393"/>
      <c r="F364" s="393"/>
      <c r="G364" s="151">
        <v>0</v>
      </c>
      <c r="H364" s="140"/>
      <c r="I364" s="140"/>
      <c r="J364" s="140"/>
      <c r="K364" s="140"/>
      <c r="L364" s="151">
        <v>0</v>
      </c>
      <c r="M364" s="140"/>
      <c r="N364" s="140"/>
      <c r="O364" s="140"/>
      <c r="P364" s="253">
        <v>0</v>
      </c>
      <c r="Q364" s="254"/>
      <c r="R364" s="254"/>
      <c r="S364" s="254"/>
      <c r="T364" s="151">
        <f t="shared" si="230"/>
        <v>0</v>
      </c>
      <c r="U364" s="258">
        <f>I364+M364+Q364</f>
        <v>0</v>
      </c>
      <c r="V364" s="151">
        <f t="shared" si="230"/>
        <v>0</v>
      </c>
      <c r="W364" s="151">
        <f t="shared" si="230"/>
        <v>0</v>
      </c>
      <c r="X364" s="140"/>
      <c r="Y364" s="140"/>
      <c r="Z364" s="393"/>
    </row>
    <row r="365" spans="1:26">
      <c r="A365" s="314"/>
      <c r="B365" s="41" t="s">
        <v>32</v>
      </c>
      <c r="C365" s="391"/>
      <c r="D365" s="393"/>
      <c r="E365" s="393"/>
      <c r="F365" s="393"/>
      <c r="G365" s="151">
        <v>0</v>
      </c>
      <c r="H365" s="140"/>
      <c r="I365" s="140"/>
      <c r="J365" s="140"/>
      <c r="K365" s="140"/>
      <c r="L365" s="151">
        <v>0</v>
      </c>
      <c r="M365" s="140"/>
      <c r="N365" s="140"/>
      <c r="O365" s="140"/>
      <c r="P365" s="253">
        <v>0</v>
      </c>
      <c r="Q365" s="254"/>
      <c r="R365" s="254"/>
      <c r="S365" s="254"/>
      <c r="T365" s="151">
        <f t="shared" si="230"/>
        <v>0</v>
      </c>
      <c r="U365" s="258">
        <f t="shared" ref="U365:U366" si="231">I365+M365+Q365</f>
        <v>0</v>
      </c>
      <c r="V365" s="151">
        <f t="shared" si="230"/>
        <v>0</v>
      </c>
      <c r="W365" s="151">
        <f t="shared" si="230"/>
        <v>0</v>
      </c>
      <c r="X365" s="140"/>
      <c r="Y365" s="140"/>
      <c r="Z365" s="393"/>
    </row>
    <row r="366" spans="1:26">
      <c r="A366" s="314"/>
      <c r="B366" s="41" t="s">
        <v>33</v>
      </c>
      <c r="C366" s="391"/>
      <c r="D366" s="393"/>
      <c r="E366" s="393"/>
      <c r="F366" s="393"/>
      <c r="G366" s="151">
        <v>0</v>
      </c>
      <c r="H366" s="140"/>
      <c r="I366" s="140"/>
      <c r="J366" s="140"/>
      <c r="K366" s="140"/>
      <c r="L366" s="151">
        <v>0</v>
      </c>
      <c r="M366" s="140"/>
      <c r="N366" s="140"/>
      <c r="O366" s="140"/>
      <c r="P366" s="253">
        <v>0</v>
      </c>
      <c r="Q366" s="254"/>
      <c r="R366" s="254"/>
      <c r="S366" s="254"/>
      <c r="T366" s="151">
        <f t="shared" si="230"/>
        <v>0</v>
      </c>
      <c r="U366" s="258">
        <f t="shared" si="231"/>
        <v>0</v>
      </c>
      <c r="V366" s="151">
        <f t="shared" si="230"/>
        <v>0</v>
      </c>
      <c r="W366" s="151">
        <f t="shared" si="230"/>
        <v>0</v>
      </c>
      <c r="X366" s="140"/>
      <c r="Y366" s="140"/>
      <c r="Z366" s="393"/>
    </row>
    <row r="367" spans="1:26">
      <c r="A367" s="314"/>
      <c r="B367" s="23" t="s">
        <v>37</v>
      </c>
      <c r="C367" s="391"/>
      <c r="D367" s="393"/>
      <c r="E367" s="393"/>
      <c r="F367" s="393"/>
      <c r="G367" s="150">
        <v>0</v>
      </c>
      <c r="H367" s="140"/>
      <c r="I367" s="140"/>
      <c r="J367" s="140"/>
      <c r="K367" s="140"/>
      <c r="L367" s="150">
        <v>0</v>
      </c>
      <c r="M367" s="140"/>
      <c r="N367" s="140"/>
      <c r="O367" s="140"/>
      <c r="P367" s="254">
        <v>0</v>
      </c>
      <c r="Q367" s="254"/>
      <c r="R367" s="254"/>
      <c r="S367" s="254"/>
      <c r="T367" s="150">
        <f t="shared" si="230"/>
        <v>0</v>
      </c>
      <c r="U367" s="257">
        <f>I367+M367+Q367</f>
        <v>0</v>
      </c>
      <c r="V367" s="150">
        <f t="shared" si="230"/>
        <v>0</v>
      </c>
      <c r="W367" s="150">
        <f t="shared" si="230"/>
        <v>0</v>
      </c>
      <c r="X367" s="140"/>
      <c r="Y367" s="140"/>
      <c r="Z367" s="393"/>
    </row>
    <row r="368" spans="1:26">
      <c r="A368" s="314"/>
      <c r="B368" s="23" t="s">
        <v>38</v>
      </c>
      <c r="C368" s="392"/>
      <c r="D368" s="394"/>
      <c r="E368" s="394"/>
      <c r="F368" s="394"/>
      <c r="G368" s="150">
        <v>0</v>
      </c>
      <c r="H368" s="140"/>
      <c r="I368" s="140"/>
      <c r="J368" s="140"/>
      <c r="K368" s="140"/>
      <c r="L368" s="150">
        <v>0</v>
      </c>
      <c r="M368" s="140"/>
      <c r="N368" s="140"/>
      <c r="O368" s="140"/>
      <c r="P368" s="254">
        <v>0</v>
      </c>
      <c r="Q368" s="254"/>
      <c r="R368" s="254"/>
      <c r="S368" s="254"/>
      <c r="T368" s="150">
        <f t="shared" si="230"/>
        <v>0</v>
      </c>
      <c r="U368" s="257">
        <f>I368+M368+Q368</f>
        <v>0</v>
      </c>
      <c r="V368" s="150">
        <f t="shared" si="230"/>
        <v>0</v>
      </c>
      <c r="W368" s="150">
        <f t="shared" si="230"/>
        <v>0</v>
      </c>
      <c r="X368" s="140"/>
      <c r="Y368" s="140"/>
      <c r="Z368" s="394"/>
    </row>
    <row r="369" spans="1:26" ht="39.75" customHeight="1">
      <c r="A369" s="313" t="s">
        <v>99</v>
      </c>
      <c r="B369" s="53" t="s">
        <v>208</v>
      </c>
      <c r="C369" s="321" t="s">
        <v>58</v>
      </c>
      <c r="D369" s="304" t="s">
        <v>51</v>
      </c>
      <c r="E369" s="328"/>
      <c r="F369" s="325"/>
      <c r="G369" s="25">
        <f>G370+G373+G375+G379+G380</f>
        <v>318</v>
      </c>
      <c r="H369" s="25">
        <f>H370+H373+H375+H379+H380</f>
        <v>318</v>
      </c>
      <c r="I369" s="25">
        <f t="shared" ref="I369:K369" si="232">I370+I373+I375+I379+I380</f>
        <v>265</v>
      </c>
      <c r="J369" s="25">
        <f t="shared" si="232"/>
        <v>265</v>
      </c>
      <c r="K369" s="25">
        <f t="shared" si="232"/>
        <v>265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f>H369+L369</f>
        <v>318</v>
      </c>
      <c r="U369" s="25">
        <f>I369+M369+Q369</f>
        <v>265</v>
      </c>
      <c r="V369" s="25">
        <f t="shared" ref="V369:W370" si="233">J369+N369+R369</f>
        <v>265</v>
      </c>
      <c r="W369" s="25">
        <f t="shared" si="233"/>
        <v>265</v>
      </c>
      <c r="X369" s="26"/>
      <c r="Y369" s="26"/>
      <c r="Z369" s="360"/>
    </row>
    <row r="370" spans="1:26">
      <c r="A370" s="314"/>
      <c r="B370" s="22" t="s">
        <v>127</v>
      </c>
      <c r="C370" s="322"/>
      <c r="D370" s="307"/>
      <c r="E370" s="393"/>
      <c r="F370" s="326"/>
      <c r="G370" s="323">
        <f>SUM(H370)</f>
        <v>318</v>
      </c>
      <c r="H370" s="323">
        <v>318</v>
      </c>
      <c r="I370" s="323">
        <f>SUM(I372)</f>
        <v>265</v>
      </c>
      <c r="J370" s="323">
        <f t="shared" ref="J370:K370" si="234">SUM(J372)</f>
        <v>265</v>
      </c>
      <c r="K370" s="323">
        <f t="shared" si="234"/>
        <v>265</v>
      </c>
      <c r="L370" s="389">
        <v>0</v>
      </c>
      <c r="M370" s="134"/>
      <c r="N370" s="134"/>
      <c r="O370" s="134"/>
      <c r="P370" s="389">
        <v>0</v>
      </c>
      <c r="Q370" s="245"/>
      <c r="R370" s="245"/>
      <c r="S370" s="245"/>
      <c r="T370" s="323">
        <f t="shared" ref="T370:T371" si="235">H370+L370</f>
        <v>318</v>
      </c>
      <c r="U370" s="323">
        <f>I370+M370+Q370</f>
        <v>265</v>
      </c>
      <c r="V370" s="323">
        <f t="shared" si="233"/>
        <v>265</v>
      </c>
      <c r="W370" s="323">
        <f t="shared" si="233"/>
        <v>265</v>
      </c>
      <c r="X370" s="323"/>
      <c r="Y370" s="323"/>
      <c r="Z370" s="307"/>
    </row>
    <row r="371" spans="1:26">
      <c r="A371" s="314"/>
      <c r="B371" s="40" t="s">
        <v>27</v>
      </c>
      <c r="C371" s="322"/>
      <c r="D371" s="307"/>
      <c r="E371" s="393"/>
      <c r="F371" s="326"/>
      <c r="G371" s="394"/>
      <c r="H371" s="324"/>
      <c r="I371" s="324"/>
      <c r="J371" s="324"/>
      <c r="K371" s="324"/>
      <c r="L371" s="309"/>
      <c r="M371" s="136"/>
      <c r="N371" s="136"/>
      <c r="O371" s="136"/>
      <c r="P371" s="309"/>
      <c r="Q371" s="247"/>
      <c r="R371" s="247"/>
      <c r="S371" s="247"/>
      <c r="T371" s="324">
        <f t="shared" si="235"/>
        <v>0</v>
      </c>
      <c r="U371" s="324"/>
      <c r="V371" s="324"/>
      <c r="W371" s="324"/>
      <c r="X371" s="324"/>
      <c r="Y371" s="324"/>
      <c r="Z371" s="307"/>
    </row>
    <row r="372" spans="1:26" s="185" customFormat="1" ht="12.75" hidden="1" customHeight="1">
      <c r="A372" s="314"/>
      <c r="B372" s="115" t="s">
        <v>172</v>
      </c>
      <c r="C372" s="322"/>
      <c r="D372" s="307"/>
      <c r="E372" s="393"/>
      <c r="F372" s="326"/>
      <c r="G372" s="184"/>
      <c r="H372" s="116"/>
      <c r="I372" s="117">
        <v>265</v>
      </c>
      <c r="J372" s="117">
        <f>132.5+132.5</f>
        <v>265</v>
      </c>
      <c r="K372" s="117">
        <f>132.5+132.5</f>
        <v>265</v>
      </c>
      <c r="L372" s="117"/>
      <c r="M372" s="117"/>
      <c r="N372" s="117"/>
      <c r="O372" s="117"/>
      <c r="P372" s="117"/>
      <c r="Q372" s="117"/>
      <c r="R372" s="117"/>
      <c r="S372" s="117"/>
      <c r="T372" s="150">
        <f>H372+L372</f>
        <v>0</v>
      </c>
      <c r="U372" s="118">
        <f>I372+M372+Q372</f>
        <v>265</v>
      </c>
      <c r="V372" s="150">
        <f>J372+N372</f>
        <v>265</v>
      </c>
      <c r="W372" s="150">
        <f>K372+O372</f>
        <v>265</v>
      </c>
      <c r="X372" s="116"/>
      <c r="Y372" s="116"/>
      <c r="Z372" s="307"/>
    </row>
    <row r="373" spans="1:26">
      <c r="A373" s="314"/>
      <c r="B373" s="23" t="s">
        <v>29</v>
      </c>
      <c r="C373" s="322"/>
      <c r="D373" s="307"/>
      <c r="E373" s="393"/>
      <c r="F373" s="326"/>
      <c r="G373" s="150">
        <v>0</v>
      </c>
      <c r="H373" s="136"/>
      <c r="I373" s="136"/>
      <c r="J373" s="136"/>
      <c r="K373" s="136"/>
      <c r="L373" s="150">
        <v>0</v>
      </c>
      <c r="M373" s="136"/>
      <c r="N373" s="136"/>
      <c r="O373" s="136"/>
      <c r="P373" s="254">
        <v>0</v>
      </c>
      <c r="Q373" s="247"/>
      <c r="R373" s="247"/>
      <c r="S373" s="247"/>
      <c r="T373" s="151">
        <f t="shared" ref="T373:W380" si="236">H373+L373</f>
        <v>0</v>
      </c>
      <c r="U373" s="151">
        <f t="shared" si="236"/>
        <v>0</v>
      </c>
      <c r="V373" s="151">
        <f t="shared" si="236"/>
        <v>0</v>
      </c>
      <c r="W373" s="151">
        <f t="shared" si="236"/>
        <v>0</v>
      </c>
      <c r="X373" s="136"/>
      <c r="Y373" s="136"/>
      <c r="Z373" s="307"/>
    </row>
    <row r="374" spans="1:26">
      <c r="A374" s="314"/>
      <c r="B374" s="44" t="s">
        <v>39</v>
      </c>
      <c r="C374" s="322"/>
      <c r="D374" s="307"/>
      <c r="E374" s="393"/>
      <c r="F374" s="326"/>
      <c r="G374" s="151">
        <v>0</v>
      </c>
      <c r="H374" s="136"/>
      <c r="I374" s="136"/>
      <c r="J374" s="136"/>
      <c r="K374" s="136"/>
      <c r="L374" s="151">
        <v>0</v>
      </c>
      <c r="M374" s="136"/>
      <c r="N374" s="136"/>
      <c r="O374" s="136"/>
      <c r="P374" s="253">
        <v>0</v>
      </c>
      <c r="Q374" s="247"/>
      <c r="R374" s="247"/>
      <c r="S374" s="247"/>
      <c r="T374" s="151">
        <f t="shared" si="236"/>
        <v>0</v>
      </c>
      <c r="U374" s="151">
        <f t="shared" si="236"/>
        <v>0</v>
      </c>
      <c r="V374" s="151">
        <f t="shared" si="236"/>
        <v>0</v>
      </c>
      <c r="W374" s="151">
        <f t="shared" si="236"/>
        <v>0</v>
      </c>
      <c r="X374" s="136"/>
      <c r="Y374" s="136"/>
      <c r="Z374" s="307"/>
    </row>
    <row r="375" spans="1:26">
      <c r="A375" s="314"/>
      <c r="B375" s="23" t="s">
        <v>30</v>
      </c>
      <c r="C375" s="322"/>
      <c r="D375" s="307"/>
      <c r="E375" s="393"/>
      <c r="F375" s="326"/>
      <c r="G375" s="150">
        <v>0</v>
      </c>
      <c r="H375" s="136"/>
      <c r="I375" s="136"/>
      <c r="J375" s="136"/>
      <c r="K375" s="136"/>
      <c r="L375" s="150">
        <v>0</v>
      </c>
      <c r="M375" s="136"/>
      <c r="N375" s="136"/>
      <c r="O375" s="136"/>
      <c r="P375" s="254">
        <v>0</v>
      </c>
      <c r="Q375" s="247"/>
      <c r="R375" s="247"/>
      <c r="S375" s="247"/>
      <c r="T375" s="150">
        <f t="shared" si="236"/>
        <v>0</v>
      </c>
      <c r="U375" s="150">
        <f t="shared" si="236"/>
        <v>0</v>
      </c>
      <c r="V375" s="150">
        <f t="shared" si="236"/>
        <v>0</v>
      </c>
      <c r="W375" s="150">
        <f t="shared" si="236"/>
        <v>0</v>
      </c>
      <c r="X375" s="136"/>
      <c r="Y375" s="136"/>
      <c r="Z375" s="307"/>
    </row>
    <row r="376" spans="1:26">
      <c r="A376" s="314"/>
      <c r="B376" s="44" t="s">
        <v>41</v>
      </c>
      <c r="C376" s="391"/>
      <c r="D376" s="393"/>
      <c r="E376" s="393"/>
      <c r="F376" s="393"/>
      <c r="G376" s="151">
        <v>0</v>
      </c>
      <c r="H376" s="140"/>
      <c r="I376" s="140"/>
      <c r="J376" s="140"/>
      <c r="K376" s="140"/>
      <c r="L376" s="151">
        <v>0</v>
      </c>
      <c r="M376" s="140"/>
      <c r="N376" s="140"/>
      <c r="O376" s="140"/>
      <c r="P376" s="253">
        <v>0</v>
      </c>
      <c r="Q376" s="254"/>
      <c r="R376" s="254"/>
      <c r="S376" s="254"/>
      <c r="T376" s="151">
        <f t="shared" si="236"/>
        <v>0</v>
      </c>
      <c r="U376" s="151">
        <f t="shared" si="236"/>
        <v>0</v>
      </c>
      <c r="V376" s="151">
        <f t="shared" si="236"/>
        <v>0</v>
      </c>
      <c r="W376" s="151">
        <f t="shared" si="236"/>
        <v>0</v>
      </c>
      <c r="X376" s="140"/>
      <c r="Y376" s="140"/>
      <c r="Z376" s="393"/>
    </row>
    <row r="377" spans="1:26">
      <c r="A377" s="314"/>
      <c r="B377" s="41" t="s">
        <v>32</v>
      </c>
      <c r="C377" s="391"/>
      <c r="D377" s="393"/>
      <c r="E377" s="393"/>
      <c r="F377" s="393"/>
      <c r="G377" s="151">
        <v>0</v>
      </c>
      <c r="H377" s="140"/>
      <c r="I377" s="140"/>
      <c r="J377" s="140"/>
      <c r="K377" s="140"/>
      <c r="L377" s="151">
        <v>0</v>
      </c>
      <c r="M377" s="140"/>
      <c r="N377" s="140"/>
      <c r="O377" s="140"/>
      <c r="P377" s="253">
        <v>0</v>
      </c>
      <c r="Q377" s="254"/>
      <c r="R377" s="254"/>
      <c r="S377" s="254"/>
      <c r="T377" s="151">
        <f t="shared" si="236"/>
        <v>0</v>
      </c>
      <c r="U377" s="151">
        <f t="shared" si="236"/>
        <v>0</v>
      </c>
      <c r="V377" s="151">
        <f t="shared" si="236"/>
        <v>0</v>
      </c>
      <c r="W377" s="151">
        <f t="shared" si="236"/>
        <v>0</v>
      </c>
      <c r="X377" s="140"/>
      <c r="Y377" s="140"/>
      <c r="Z377" s="393"/>
    </row>
    <row r="378" spans="1:26">
      <c r="A378" s="314"/>
      <c r="B378" s="41" t="s">
        <v>33</v>
      </c>
      <c r="C378" s="391"/>
      <c r="D378" s="393"/>
      <c r="E378" s="393"/>
      <c r="F378" s="393"/>
      <c r="G378" s="151">
        <v>0</v>
      </c>
      <c r="H378" s="140"/>
      <c r="I378" s="140"/>
      <c r="J378" s="140"/>
      <c r="K378" s="140"/>
      <c r="L378" s="151">
        <v>0</v>
      </c>
      <c r="M378" s="140"/>
      <c r="N378" s="140"/>
      <c r="O378" s="140"/>
      <c r="P378" s="253">
        <v>0</v>
      </c>
      <c r="Q378" s="254"/>
      <c r="R378" s="254"/>
      <c r="S378" s="254"/>
      <c r="T378" s="151">
        <f t="shared" si="236"/>
        <v>0</v>
      </c>
      <c r="U378" s="151">
        <f t="shared" si="236"/>
        <v>0</v>
      </c>
      <c r="V378" s="151">
        <f t="shared" si="236"/>
        <v>0</v>
      </c>
      <c r="W378" s="151">
        <f t="shared" si="236"/>
        <v>0</v>
      </c>
      <c r="X378" s="140"/>
      <c r="Y378" s="140"/>
      <c r="Z378" s="393"/>
    </row>
    <row r="379" spans="1:26">
      <c r="A379" s="314"/>
      <c r="B379" s="23" t="s">
        <v>37</v>
      </c>
      <c r="C379" s="391"/>
      <c r="D379" s="393"/>
      <c r="E379" s="393"/>
      <c r="F379" s="393"/>
      <c r="G379" s="150">
        <v>0</v>
      </c>
      <c r="H379" s="140"/>
      <c r="I379" s="140"/>
      <c r="J379" s="140"/>
      <c r="K379" s="140"/>
      <c r="L379" s="150">
        <v>0</v>
      </c>
      <c r="M379" s="140"/>
      <c r="N379" s="140"/>
      <c r="O379" s="140"/>
      <c r="P379" s="254">
        <v>0</v>
      </c>
      <c r="Q379" s="254"/>
      <c r="R379" s="254"/>
      <c r="S379" s="254"/>
      <c r="T379" s="150">
        <f t="shared" si="236"/>
        <v>0</v>
      </c>
      <c r="U379" s="150">
        <f t="shared" si="236"/>
        <v>0</v>
      </c>
      <c r="V379" s="150">
        <f t="shared" si="236"/>
        <v>0</v>
      </c>
      <c r="W379" s="150">
        <f t="shared" si="236"/>
        <v>0</v>
      </c>
      <c r="X379" s="140"/>
      <c r="Y379" s="140"/>
      <c r="Z379" s="393"/>
    </row>
    <row r="380" spans="1:26">
      <c r="A380" s="314"/>
      <c r="B380" s="23" t="s">
        <v>38</v>
      </c>
      <c r="C380" s="392"/>
      <c r="D380" s="394"/>
      <c r="E380" s="394"/>
      <c r="F380" s="394"/>
      <c r="G380" s="150">
        <v>0</v>
      </c>
      <c r="H380" s="140"/>
      <c r="I380" s="140"/>
      <c r="J380" s="140"/>
      <c r="K380" s="140"/>
      <c r="L380" s="150">
        <v>0</v>
      </c>
      <c r="M380" s="140"/>
      <c r="N380" s="140"/>
      <c r="O380" s="140"/>
      <c r="P380" s="254">
        <v>0</v>
      </c>
      <c r="Q380" s="254"/>
      <c r="R380" s="254"/>
      <c r="S380" s="254"/>
      <c r="T380" s="150">
        <f t="shared" si="236"/>
        <v>0</v>
      </c>
      <c r="U380" s="150">
        <f t="shared" si="236"/>
        <v>0</v>
      </c>
      <c r="V380" s="150">
        <f t="shared" si="236"/>
        <v>0</v>
      </c>
      <c r="W380" s="150">
        <f t="shared" si="236"/>
        <v>0</v>
      </c>
      <c r="X380" s="140"/>
      <c r="Y380" s="140"/>
      <c r="Z380" s="394"/>
    </row>
    <row r="381" spans="1:26" ht="38.25">
      <c r="A381" s="313" t="s">
        <v>100</v>
      </c>
      <c r="B381" s="36" t="s">
        <v>80</v>
      </c>
      <c r="C381" s="321" t="s">
        <v>58</v>
      </c>
      <c r="D381" s="304" t="s">
        <v>51</v>
      </c>
      <c r="E381" s="328">
        <v>1.1499999999999999</v>
      </c>
      <c r="F381" s="325" t="s">
        <v>18</v>
      </c>
      <c r="G381" s="25">
        <f>G382+G384+G386+G390+G391</f>
        <v>5403.1</v>
      </c>
      <c r="H381" s="25">
        <f>H382+H384+H386+H390+H391</f>
        <v>0</v>
      </c>
      <c r="I381" s="26"/>
      <c r="J381" s="26"/>
      <c r="K381" s="26"/>
      <c r="L381" s="26">
        <v>0</v>
      </c>
      <c r="M381" s="26">
        <v>0</v>
      </c>
      <c r="N381" s="26">
        <v>0</v>
      </c>
      <c r="O381" s="26">
        <v>0</v>
      </c>
      <c r="P381" s="26">
        <f>P382</f>
        <v>5403.1</v>
      </c>
      <c r="Q381" s="26">
        <v>0</v>
      </c>
      <c r="R381" s="26">
        <v>0</v>
      </c>
      <c r="S381" s="26">
        <v>0</v>
      </c>
      <c r="T381" s="25">
        <f>H381+L381+P381</f>
        <v>5403.1</v>
      </c>
      <c r="U381" s="25">
        <f>I381+M381+Q381</f>
        <v>0</v>
      </c>
      <c r="V381" s="25">
        <f t="shared" ref="V381:W382" si="237">J381+N381+R381</f>
        <v>0</v>
      </c>
      <c r="W381" s="25">
        <f t="shared" si="237"/>
        <v>0</v>
      </c>
      <c r="X381" s="26"/>
      <c r="Y381" s="26"/>
      <c r="Z381" s="360"/>
    </row>
    <row r="382" spans="1:26">
      <c r="A382" s="314"/>
      <c r="B382" s="22" t="s">
        <v>127</v>
      </c>
      <c r="C382" s="322"/>
      <c r="D382" s="307"/>
      <c r="E382" s="393"/>
      <c r="F382" s="326"/>
      <c r="G382" s="323">
        <v>5403.1</v>
      </c>
      <c r="H382" s="323"/>
      <c r="I382" s="134"/>
      <c r="J382" s="134"/>
      <c r="K382" s="134"/>
      <c r="L382" s="323">
        <v>0</v>
      </c>
      <c r="M382" s="134"/>
      <c r="N382" s="134"/>
      <c r="O382" s="134"/>
      <c r="P382" s="323">
        <v>5403.1</v>
      </c>
      <c r="Q382" s="245"/>
      <c r="R382" s="245"/>
      <c r="S382" s="245"/>
      <c r="T382" s="323">
        <f>H382+L382+P382</f>
        <v>5403.1</v>
      </c>
      <c r="U382" s="323">
        <f>I382+M382+Q382</f>
        <v>0</v>
      </c>
      <c r="V382" s="323">
        <f t="shared" si="237"/>
        <v>0</v>
      </c>
      <c r="W382" s="323">
        <f t="shared" si="237"/>
        <v>0</v>
      </c>
      <c r="X382" s="323"/>
      <c r="Y382" s="323">
        <v>5403.1</v>
      </c>
      <c r="Z382" s="307"/>
    </row>
    <row r="383" spans="1:26">
      <c r="A383" s="314"/>
      <c r="B383" s="40" t="s">
        <v>27</v>
      </c>
      <c r="C383" s="322"/>
      <c r="D383" s="307"/>
      <c r="E383" s="393"/>
      <c r="F383" s="326"/>
      <c r="G383" s="394"/>
      <c r="H383" s="324"/>
      <c r="I383" s="136"/>
      <c r="J383" s="136"/>
      <c r="K383" s="136"/>
      <c r="L383" s="324"/>
      <c r="M383" s="136"/>
      <c r="N383" s="136"/>
      <c r="O383" s="136"/>
      <c r="P383" s="324"/>
      <c r="Q383" s="247"/>
      <c r="R383" s="247"/>
      <c r="S383" s="247"/>
      <c r="T383" s="324">
        <f t="shared" ref="T383:U383" si="238">H383+L383</f>
        <v>0</v>
      </c>
      <c r="U383" s="324">
        <f t="shared" si="238"/>
        <v>0</v>
      </c>
      <c r="V383" s="324">
        <f t="shared" ref="V383" si="239">J383+N383</f>
        <v>0</v>
      </c>
      <c r="W383" s="324">
        <f t="shared" ref="W383" si="240">K383+O383</f>
        <v>0</v>
      </c>
      <c r="X383" s="324"/>
      <c r="Y383" s="324"/>
      <c r="Z383" s="307"/>
    </row>
    <row r="384" spans="1:26">
      <c r="A384" s="314"/>
      <c r="B384" s="23" t="s">
        <v>29</v>
      </c>
      <c r="C384" s="322"/>
      <c r="D384" s="307"/>
      <c r="E384" s="393"/>
      <c r="F384" s="326"/>
      <c r="G384" s="150">
        <v>0</v>
      </c>
      <c r="H384" s="136"/>
      <c r="I384" s="136"/>
      <c r="J384" s="136"/>
      <c r="K384" s="136"/>
      <c r="L384" s="150">
        <v>0</v>
      </c>
      <c r="M384" s="136"/>
      <c r="N384" s="136"/>
      <c r="O384" s="136"/>
      <c r="P384" s="254">
        <v>0</v>
      </c>
      <c r="Q384" s="247"/>
      <c r="R384" s="247"/>
      <c r="S384" s="247"/>
      <c r="T384" s="150">
        <f>H384+L384</f>
        <v>0</v>
      </c>
      <c r="U384" s="257">
        <f>I384+M384+Q384</f>
        <v>0</v>
      </c>
      <c r="V384" s="150">
        <f>J384+N384</f>
        <v>0</v>
      </c>
      <c r="W384" s="150">
        <f>K384+O384</f>
        <v>0</v>
      </c>
      <c r="X384" s="136"/>
      <c r="Y384" s="136"/>
      <c r="Z384" s="307"/>
    </row>
    <row r="385" spans="1:26">
      <c r="A385" s="314"/>
      <c r="B385" s="44" t="s">
        <v>39</v>
      </c>
      <c r="C385" s="322"/>
      <c r="D385" s="307"/>
      <c r="E385" s="393"/>
      <c r="F385" s="326"/>
      <c r="G385" s="151">
        <v>0</v>
      </c>
      <c r="H385" s="136"/>
      <c r="I385" s="136"/>
      <c r="J385" s="136"/>
      <c r="K385" s="136"/>
      <c r="L385" s="151">
        <v>0</v>
      </c>
      <c r="M385" s="136"/>
      <c r="N385" s="136"/>
      <c r="O385" s="136"/>
      <c r="P385" s="253">
        <v>0</v>
      </c>
      <c r="Q385" s="247"/>
      <c r="R385" s="247"/>
      <c r="S385" s="247"/>
      <c r="T385" s="151">
        <f t="shared" ref="T385:W391" si="241">H385+L385</f>
        <v>0</v>
      </c>
      <c r="U385" s="258">
        <f>I385+M385+Q385</f>
        <v>0</v>
      </c>
      <c r="V385" s="151">
        <f t="shared" si="241"/>
        <v>0</v>
      </c>
      <c r="W385" s="151">
        <f t="shared" si="241"/>
        <v>0</v>
      </c>
      <c r="X385" s="136"/>
      <c r="Y385" s="136"/>
      <c r="Z385" s="307"/>
    </row>
    <row r="386" spans="1:26">
      <c r="A386" s="314"/>
      <c r="B386" s="23" t="s">
        <v>30</v>
      </c>
      <c r="C386" s="322"/>
      <c r="D386" s="307"/>
      <c r="E386" s="393"/>
      <c r="F386" s="326"/>
      <c r="G386" s="150">
        <v>0</v>
      </c>
      <c r="H386" s="136"/>
      <c r="I386" s="136"/>
      <c r="J386" s="136"/>
      <c r="K386" s="136"/>
      <c r="L386" s="150">
        <v>0</v>
      </c>
      <c r="M386" s="136"/>
      <c r="N386" s="136"/>
      <c r="O386" s="136"/>
      <c r="P386" s="254">
        <v>0</v>
      </c>
      <c r="Q386" s="247"/>
      <c r="R386" s="247"/>
      <c r="S386" s="247"/>
      <c r="T386" s="150">
        <f t="shared" si="241"/>
        <v>0</v>
      </c>
      <c r="U386" s="257">
        <f>I386+M386+Q386</f>
        <v>0</v>
      </c>
      <c r="V386" s="150">
        <f t="shared" si="241"/>
        <v>0</v>
      </c>
      <c r="W386" s="150">
        <f t="shared" si="241"/>
        <v>0</v>
      </c>
      <c r="X386" s="136"/>
      <c r="Y386" s="136"/>
      <c r="Z386" s="307"/>
    </row>
    <row r="387" spans="1:26">
      <c r="A387" s="314"/>
      <c r="B387" s="44" t="s">
        <v>41</v>
      </c>
      <c r="C387" s="391"/>
      <c r="D387" s="393"/>
      <c r="E387" s="393"/>
      <c r="F387" s="393"/>
      <c r="G387" s="151">
        <v>0</v>
      </c>
      <c r="H387" s="140"/>
      <c r="I387" s="140"/>
      <c r="J387" s="140"/>
      <c r="K387" s="140"/>
      <c r="L387" s="151">
        <v>0</v>
      </c>
      <c r="M387" s="140"/>
      <c r="N387" s="140"/>
      <c r="O387" s="140"/>
      <c r="P387" s="253">
        <v>0</v>
      </c>
      <c r="Q387" s="254"/>
      <c r="R387" s="254"/>
      <c r="S387" s="254"/>
      <c r="T387" s="151">
        <f t="shared" si="241"/>
        <v>0</v>
      </c>
      <c r="U387" s="258">
        <f>I387+M387+Q387</f>
        <v>0</v>
      </c>
      <c r="V387" s="151">
        <f t="shared" si="241"/>
        <v>0</v>
      </c>
      <c r="W387" s="151">
        <f t="shared" si="241"/>
        <v>0</v>
      </c>
      <c r="X387" s="140"/>
      <c r="Y387" s="140"/>
      <c r="Z387" s="393"/>
    </row>
    <row r="388" spans="1:26">
      <c r="A388" s="314"/>
      <c r="B388" s="41" t="s">
        <v>32</v>
      </c>
      <c r="C388" s="391"/>
      <c r="D388" s="393"/>
      <c r="E388" s="393"/>
      <c r="F388" s="393"/>
      <c r="G388" s="151">
        <v>0</v>
      </c>
      <c r="H388" s="140"/>
      <c r="I388" s="140"/>
      <c r="J388" s="140"/>
      <c r="K388" s="140"/>
      <c r="L388" s="151">
        <v>0</v>
      </c>
      <c r="M388" s="140"/>
      <c r="N388" s="140"/>
      <c r="O388" s="140"/>
      <c r="P388" s="253">
        <v>0</v>
      </c>
      <c r="Q388" s="254"/>
      <c r="R388" s="254"/>
      <c r="S388" s="254"/>
      <c r="T388" s="151">
        <f t="shared" si="241"/>
        <v>0</v>
      </c>
      <c r="U388" s="258">
        <f t="shared" ref="U388:U389" si="242">I388+M388+Q388</f>
        <v>0</v>
      </c>
      <c r="V388" s="151">
        <f t="shared" si="241"/>
        <v>0</v>
      </c>
      <c r="W388" s="151">
        <f t="shared" si="241"/>
        <v>0</v>
      </c>
      <c r="X388" s="140"/>
      <c r="Y388" s="140"/>
      <c r="Z388" s="393"/>
    </row>
    <row r="389" spans="1:26">
      <c r="A389" s="314"/>
      <c r="B389" s="41" t="s">
        <v>33</v>
      </c>
      <c r="C389" s="391"/>
      <c r="D389" s="393"/>
      <c r="E389" s="393"/>
      <c r="F389" s="393"/>
      <c r="G389" s="151">
        <v>0</v>
      </c>
      <c r="H389" s="140"/>
      <c r="I389" s="140"/>
      <c r="J389" s="140"/>
      <c r="K389" s="140"/>
      <c r="L389" s="151">
        <v>0</v>
      </c>
      <c r="M389" s="140"/>
      <c r="N389" s="140"/>
      <c r="O389" s="140"/>
      <c r="P389" s="253">
        <v>0</v>
      </c>
      <c r="Q389" s="254"/>
      <c r="R389" s="254"/>
      <c r="S389" s="254"/>
      <c r="T389" s="151">
        <f t="shared" si="241"/>
        <v>0</v>
      </c>
      <c r="U389" s="258">
        <f t="shared" si="242"/>
        <v>0</v>
      </c>
      <c r="V389" s="151">
        <f t="shared" si="241"/>
        <v>0</v>
      </c>
      <c r="W389" s="151">
        <f t="shared" si="241"/>
        <v>0</v>
      </c>
      <c r="X389" s="140"/>
      <c r="Y389" s="140"/>
      <c r="Z389" s="393"/>
    </row>
    <row r="390" spans="1:26">
      <c r="A390" s="314"/>
      <c r="B390" s="23" t="s">
        <v>37</v>
      </c>
      <c r="C390" s="391"/>
      <c r="D390" s="393"/>
      <c r="E390" s="393"/>
      <c r="F390" s="393"/>
      <c r="G390" s="150">
        <v>0</v>
      </c>
      <c r="H390" s="140"/>
      <c r="I390" s="140"/>
      <c r="J390" s="140"/>
      <c r="K390" s="140"/>
      <c r="L390" s="150">
        <v>0</v>
      </c>
      <c r="M390" s="140"/>
      <c r="N390" s="140"/>
      <c r="O390" s="140"/>
      <c r="P390" s="254">
        <v>0</v>
      </c>
      <c r="Q390" s="254"/>
      <c r="R390" s="254"/>
      <c r="S390" s="254"/>
      <c r="T390" s="150">
        <f t="shared" si="241"/>
        <v>0</v>
      </c>
      <c r="U390" s="257">
        <f>I390+M390+Q390</f>
        <v>0</v>
      </c>
      <c r="V390" s="150">
        <f t="shared" si="241"/>
        <v>0</v>
      </c>
      <c r="W390" s="150">
        <f t="shared" si="241"/>
        <v>0</v>
      </c>
      <c r="X390" s="140"/>
      <c r="Y390" s="140"/>
      <c r="Z390" s="393"/>
    </row>
    <row r="391" spans="1:26">
      <c r="A391" s="314"/>
      <c r="B391" s="23" t="s">
        <v>38</v>
      </c>
      <c r="C391" s="392"/>
      <c r="D391" s="394"/>
      <c r="E391" s="394"/>
      <c r="F391" s="394"/>
      <c r="G391" s="150">
        <v>0</v>
      </c>
      <c r="H391" s="140"/>
      <c r="I391" s="140"/>
      <c r="J391" s="140"/>
      <c r="K391" s="140"/>
      <c r="L391" s="150">
        <v>0</v>
      </c>
      <c r="M391" s="140"/>
      <c r="N391" s="140"/>
      <c r="O391" s="140"/>
      <c r="P391" s="254">
        <v>0</v>
      </c>
      <c r="Q391" s="254"/>
      <c r="R391" s="254"/>
      <c r="S391" s="254"/>
      <c r="T391" s="150">
        <f t="shared" si="241"/>
        <v>0</v>
      </c>
      <c r="U391" s="257">
        <f>I391+M391+Q391</f>
        <v>0</v>
      </c>
      <c r="V391" s="150">
        <f t="shared" si="241"/>
        <v>0</v>
      </c>
      <c r="W391" s="150">
        <f t="shared" si="241"/>
        <v>0</v>
      </c>
      <c r="X391" s="140"/>
      <c r="Y391" s="140"/>
      <c r="Z391" s="394"/>
    </row>
    <row r="392" spans="1:26" ht="39" customHeight="1">
      <c r="A392" s="313" t="s">
        <v>101</v>
      </c>
      <c r="B392" s="53" t="s">
        <v>79</v>
      </c>
      <c r="C392" s="321" t="s">
        <v>58</v>
      </c>
      <c r="D392" s="304" t="s">
        <v>51</v>
      </c>
      <c r="E392" s="328">
        <v>1.1499999999999999</v>
      </c>
      <c r="F392" s="325" t="s">
        <v>18</v>
      </c>
      <c r="G392" s="25">
        <f>G393+G395+G397+G401+G402</f>
        <v>108061</v>
      </c>
      <c r="H392" s="25">
        <f>H393+H395+H397+H401+H402</f>
        <v>0</v>
      </c>
      <c r="I392" s="26"/>
      <c r="J392" s="26"/>
      <c r="K392" s="26"/>
      <c r="L392" s="25">
        <f>L393+L395+L397+L401+L402</f>
        <v>0</v>
      </c>
      <c r="M392" s="26">
        <v>0</v>
      </c>
      <c r="N392" s="26">
        <v>0</v>
      </c>
      <c r="O392" s="26">
        <v>0</v>
      </c>
      <c r="P392" s="25">
        <f>P393+P395+P397+P401+P402</f>
        <v>108061</v>
      </c>
      <c r="Q392" s="26">
        <v>0</v>
      </c>
      <c r="R392" s="26">
        <v>0</v>
      </c>
      <c r="S392" s="26">
        <v>0</v>
      </c>
      <c r="T392" s="25">
        <f>P392</f>
        <v>108061</v>
      </c>
      <c r="U392" s="25">
        <f>I392+M392+Q392</f>
        <v>0</v>
      </c>
      <c r="V392" s="25">
        <f t="shared" ref="V392:W393" si="243">J392+N392+R392</f>
        <v>0</v>
      </c>
      <c r="W392" s="25">
        <f t="shared" si="243"/>
        <v>0</v>
      </c>
      <c r="X392" s="26"/>
      <c r="Y392" s="26"/>
      <c r="Z392" s="360"/>
    </row>
    <row r="393" spans="1:26">
      <c r="A393" s="314"/>
      <c r="B393" s="22" t="s">
        <v>127</v>
      </c>
      <c r="C393" s="322"/>
      <c r="D393" s="307"/>
      <c r="E393" s="393"/>
      <c r="F393" s="326"/>
      <c r="G393" s="323">
        <v>108061</v>
      </c>
      <c r="H393" s="323"/>
      <c r="I393" s="134"/>
      <c r="J393" s="134"/>
      <c r="K393" s="134"/>
      <c r="L393" s="323">
        <f t="shared" ref="L393:L394" si="244">D393+H393</f>
        <v>0</v>
      </c>
      <c r="M393" s="134"/>
      <c r="N393" s="134"/>
      <c r="O393" s="134"/>
      <c r="P393" s="323">
        <v>108061</v>
      </c>
      <c r="Q393" s="245"/>
      <c r="R393" s="245"/>
      <c r="S393" s="245"/>
      <c r="T393" s="323">
        <f>P393</f>
        <v>108061</v>
      </c>
      <c r="U393" s="323">
        <f>I393+M393+Q393</f>
        <v>0</v>
      </c>
      <c r="V393" s="323">
        <f t="shared" si="243"/>
        <v>0</v>
      </c>
      <c r="W393" s="323">
        <f t="shared" si="243"/>
        <v>0</v>
      </c>
      <c r="X393" s="323"/>
      <c r="Y393" s="323">
        <v>108061</v>
      </c>
      <c r="Z393" s="307"/>
    </row>
    <row r="394" spans="1:26">
      <c r="A394" s="314"/>
      <c r="B394" s="40" t="s">
        <v>27</v>
      </c>
      <c r="C394" s="322"/>
      <c r="D394" s="307"/>
      <c r="E394" s="393"/>
      <c r="F394" s="326"/>
      <c r="G394" s="394"/>
      <c r="H394" s="324"/>
      <c r="I394" s="136"/>
      <c r="J394" s="136"/>
      <c r="K394" s="136"/>
      <c r="L394" s="324">
        <f t="shared" si="244"/>
        <v>0</v>
      </c>
      <c r="M394" s="136"/>
      <c r="N394" s="136"/>
      <c r="O394" s="136"/>
      <c r="P394" s="324">
        <f t="shared" ref="P394" si="245">H394+L394</f>
        <v>0</v>
      </c>
      <c r="Q394" s="247"/>
      <c r="R394" s="247"/>
      <c r="S394" s="247"/>
      <c r="T394" s="324">
        <f t="shared" ref="T394:U394" si="246">H394+L394</f>
        <v>0</v>
      </c>
      <c r="U394" s="324">
        <f t="shared" si="246"/>
        <v>0</v>
      </c>
      <c r="V394" s="324">
        <f t="shared" ref="V394" si="247">J394+N394</f>
        <v>0</v>
      </c>
      <c r="W394" s="324">
        <f t="shared" ref="W394" si="248">K394+O394</f>
        <v>0</v>
      </c>
      <c r="X394" s="324"/>
      <c r="Y394" s="324"/>
      <c r="Z394" s="307"/>
    </row>
    <row r="395" spans="1:26">
      <c r="A395" s="314"/>
      <c r="B395" s="23" t="s">
        <v>29</v>
      </c>
      <c r="C395" s="322"/>
      <c r="D395" s="307"/>
      <c r="E395" s="393"/>
      <c r="F395" s="326"/>
      <c r="G395" s="150">
        <v>0</v>
      </c>
      <c r="H395" s="136"/>
      <c r="I395" s="136"/>
      <c r="J395" s="136"/>
      <c r="K395" s="136"/>
      <c r="L395" s="150">
        <v>0</v>
      </c>
      <c r="M395" s="136"/>
      <c r="N395" s="136"/>
      <c r="O395" s="136"/>
      <c r="P395" s="254">
        <v>0</v>
      </c>
      <c r="Q395" s="247"/>
      <c r="R395" s="247"/>
      <c r="S395" s="247"/>
      <c r="T395" s="150">
        <f>H395+L395</f>
        <v>0</v>
      </c>
      <c r="U395" s="257">
        <f>I395+M395+Q395</f>
        <v>0</v>
      </c>
      <c r="V395" s="150">
        <f>J395+N395</f>
        <v>0</v>
      </c>
      <c r="W395" s="150">
        <f>K395+O395</f>
        <v>0</v>
      </c>
      <c r="X395" s="136"/>
      <c r="Y395" s="136"/>
      <c r="Z395" s="307"/>
    </row>
    <row r="396" spans="1:26">
      <c r="A396" s="314"/>
      <c r="B396" s="44" t="s">
        <v>39</v>
      </c>
      <c r="C396" s="322"/>
      <c r="D396" s="307"/>
      <c r="E396" s="393"/>
      <c r="F396" s="326"/>
      <c r="G396" s="151">
        <v>0</v>
      </c>
      <c r="H396" s="136"/>
      <c r="I396" s="136"/>
      <c r="J396" s="136"/>
      <c r="K396" s="136"/>
      <c r="L396" s="151">
        <v>0</v>
      </c>
      <c r="M396" s="136"/>
      <c r="N396" s="136"/>
      <c r="O396" s="136"/>
      <c r="P396" s="253">
        <v>0</v>
      </c>
      <c r="Q396" s="247"/>
      <c r="R396" s="247"/>
      <c r="S396" s="247"/>
      <c r="T396" s="151">
        <f t="shared" ref="T396:W402" si="249">H396+L396</f>
        <v>0</v>
      </c>
      <c r="U396" s="258">
        <f>I396+M396+Q396</f>
        <v>0</v>
      </c>
      <c r="V396" s="151">
        <f t="shared" si="249"/>
        <v>0</v>
      </c>
      <c r="W396" s="151">
        <f t="shared" si="249"/>
        <v>0</v>
      </c>
      <c r="X396" s="136"/>
      <c r="Y396" s="136"/>
      <c r="Z396" s="307"/>
    </row>
    <row r="397" spans="1:26">
      <c r="A397" s="314"/>
      <c r="B397" s="23" t="s">
        <v>30</v>
      </c>
      <c r="C397" s="322"/>
      <c r="D397" s="307"/>
      <c r="E397" s="393"/>
      <c r="F397" s="326"/>
      <c r="G397" s="150">
        <v>0</v>
      </c>
      <c r="H397" s="136"/>
      <c r="I397" s="136"/>
      <c r="J397" s="136"/>
      <c r="K397" s="136"/>
      <c r="L397" s="150">
        <v>0</v>
      </c>
      <c r="M397" s="136"/>
      <c r="N397" s="136"/>
      <c r="O397" s="136"/>
      <c r="P397" s="254">
        <v>0</v>
      </c>
      <c r="Q397" s="247"/>
      <c r="R397" s="247"/>
      <c r="S397" s="247"/>
      <c r="T397" s="150">
        <f t="shared" si="249"/>
        <v>0</v>
      </c>
      <c r="U397" s="257">
        <f>I397+M397+Q397</f>
        <v>0</v>
      </c>
      <c r="V397" s="150">
        <f t="shared" si="249"/>
        <v>0</v>
      </c>
      <c r="W397" s="150">
        <f t="shared" si="249"/>
        <v>0</v>
      </c>
      <c r="X397" s="136"/>
      <c r="Y397" s="136"/>
      <c r="Z397" s="307"/>
    </row>
    <row r="398" spans="1:26">
      <c r="A398" s="314"/>
      <c r="B398" s="44" t="s">
        <v>41</v>
      </c>
      <c r="C398" s="391"/>
      <c r="D398" s="393"/>
      <c r="E398" s="393"/>
      <c r="F398" s="393"/>
      <c r="G398" s="151">
        <v>0</v>
      </c>
      <c r="H398" s="140"/>
      <c r="I398" s="140"/>
      <c r="J398" s="140"/>
      <c r="K398" s="140"/>
      <c r="L398" s="151">
        <v>0</v>
      </c>
      <c r="M398" s="140"/>
      <c r="N398" s="140"/>
      <c r="O398" s="140"/>
      <c r="P398" s="253">
        <v>0</v>
      </c>
      <c r="Q398" s="254"/>
      <c r="R398" s="254"/>
      <c r="S398" s="254"/>
      <c r="T398" s="151">
        <f t="shared" si="249"/>
        <v>0</v>
      </c>
      <c r="U398" s="258">
        <f>I398+M398+Q398</f>
        <v>0</v>
      </c>
      <c r="V398" s="151">
        <f t="shared" si="249"/>
        <v>0</v>
      </c>
      <c r="W398" s="151">
        <f t="shared" si="249"/>
        <v>0</v>
      </c>
      <c r="X398" s="140"/>
      <c r="Y398" s="140"/>
      <c r="Z398" s="393"/>
    </row>
    <row r="399" spans="1:26">
      <c r="A399" s="314"/>
      <c r="B399" s="41" t="s">
        <v>32</v>
      </c>
      <c r="C399" s="391"/>
      <c r="D399" s="393"/>
      <c r="E399" s="393"/>
      <c r="F399" s="393"/>
      <c r="G399" s="151">
        <v>0</v>
      </c>
      <c r="H399" s="140"/>
      <c r="I399" s="140"/>
      <c r="J399" s="140"/>
      <c r="K399" s="140"/>
      <c r="L399" s="151">
        <v>0</v>
      </c>
      <c r="M399" s="140"/>
      <c r="N399" s="140"/>
      <c r="O399" s="140"/>
      <c r="P399" s="253">
        <v>0</v>
      </c>
      <c r="Q399" s="254"/>
      <c r="R399" s="254"/>
      <c r="S399" s="254"/>
      <c r="T399" s="151">
        <f t="shared" si="249"/>
        <v>0</v>
      </c>
      <c r="U399" s="258">
        <f t="shared" ref="U399:U400" si="250">I399+M399+Q399</f>
        <v>0</v>
      </c>
      <c r="V399" s="151">
        <f t="shared" si="249"/>
        <v>0</v>
      </c>
      <c r="W399" s="151">
        <f t="shared" si="249"/>
        <v>0</v>
      </c>
      <c r="X399" s="140"/>
      <c r="Y399" s="140"/>
      <c r="Z399" s="393"/>
    </row>
    <row r="400" spans="1:26">
      <c r="A400" s="314"/>
      <c r="B400" s="41" t="s">
        <v>33</v>
      </c>
      <c r="C400" s="391"/>
      <c r="D400" s="393"/>
      <c r="E400" s="393"/>
      <c r="F400" s="393"/>
      <c r="G400" s="151">
        <v>0</v>
      </c>
      <c r="H400" s="140"/>
      <c r="I400" s="140"/>
      <c r="J400" s="140"/>
      <c r="K400" s="140"/>
      <c r="L400" s="151">
        <v>0</v>
      </c>
      <c r="M400" s="140"/>
      <c r="N400" s="140"/>
      <c r="O400" s="140"/>
      <c r="P400" s="253">
        <v>0</v>
      </c>
      <c r="Q400" s="254"/>
      <c r="R400" s="254"/>
      <c r="S400" s="254"/>
      <c r="T400" s="151">
        <f t="shared" si="249"/>
        <v>0</v>
      </c>
      <c r="U400" s="258">
        <f t="shared" si="250"/>
        <v>0</v>
      </c>
      <c r="V400" s="151">
        <f t="shared" si="249"/>
        <v>0</v>
      </c>
      <c r="W400" s="151">
        <f t="shared" si="249"/>
        <v>0</v>
      </c>
      <c r="X400" s="140"/>
      <c r="Y400" s="140"/>
      <c r="Z400" s="393"/>
    </row>
    <row r="401" spans="1:26">
      <c r="A401" s="314"/>
      <c r="B401" s="23" t="s">
        <v>37</v>
      </c>
      <c r="C401" s="391"/>
      <c r="D401" s="393"/>
      <c r="E401" s="393"/>
      <c r="F401" s="393"/>
      <c r="G401" s="150">
        <v>0</v>
      </c>
      <c r="H401" s="140"/>
      <c r="I401" s="140"/>
      <c r="J401" s="140"/>
      <c r="K401" s="140"/>
      <c r="L401" s="150">
        <v>0</v>
      </c>
      <c r="M401" s="140"/>
      <c r="N401" s="140"/>
      <c r="O401" s="140"/>
      <c r="P401" s="254">
        <v>0</v>
      </c>
      <c r="Q401" s="254"/>
      <c r="R401" s="254"/>
      <c r="S401" s="254"/>
      <c r="T401" s="150">
        <f t="shared" si="249"/>
        <v>0</v>
      </c>
      <c r="U401" s="257">
        <f>I401+M401+Q401</f>
        <v>0</v>
      </c>
      <c r="V401" s="150">
        <f t="shared" si="249"/>
        <v>0</v>
      </c>
      <c r="W401" s="150">
        <f t="shared" si="249"/>
        <v>0</v>
      </c>
      <c r="X401" s="140"/>
      <c r="Y401" s="140"/>
      <c r="Z401" s="393"/>
    </row>
    <row r="402" spans="1:26">
      <c r="A402" s="314"/>
      <c r="B402" s="23" t="s">
        <v>38</v>
      </c>
      <c r="C402" s="392"/>
      <c r="D402" s="394"/>
      <c r="E402" s="394"/>
      <c r="F402" s="394"/>
      <c r="G402" s="150">
        <v>0</v>
      </c>
      <c r="H402" s="140"/>
      <c r="I402" s="140"/>
      <c r="J402" s="140"/>
      <c r="K402" s="140"/>
      <c r="L402" s="150">
        <v>0</v>
      </c>
      <c r="M402" s="140"/>
      <c r="N402" s="140"/>
      <c r="O402" s="140"/>
      <c r="P402" s="254">
        <v>0</v>
      </c>
      <c r="Q402" s="254"/>
      <c r="R402" s="254"/>
      <c r="S402" s="254"/>
      <c r="T402" s="150">
        <f t="shared" si="249"/>
        <v>0</v>
      </c>
      <c r="U402" s="257">
        <f>I402+M402+Q402</f>
        <v>0</v>
      </c>
      <c r="V402" s="150">
        <f t="shared" si="249"/>
        <v>0</v>
      </c>
      <c r="W402" s="150">
        <f t="shared" si="249"/>
        <v>0</v>
      </c>
      <c r="X402" s="140"/>
      <c r="Y402" s="140"/>
      <c r="Z402" s="394"/>
    </row>
    <row r="403" spans="1:26" ht="18.75" customHeight="1">
      <c r="A403" s="313" t="s">
        <v>102</v>
      </c>
      <c r="B403" s="36" t="s">
        <v>60</v>
      </c>
      <c r="C403" s="321" t="s">
        <v>43</v>
      </c>
      <c r="D403" s="304" t="s">
        <v>51</v>
      </c>
      <c r="E403" s="328">
        <v>20</v>
      </c>
      <c r="F403" s="325" t="s">
        <v>18</v>
      </c>
      <c r="G403" s="25">
        <f>G404+G406+G408+G412+G413</f>
        <v>8709.7999999999993</v>
      </c>
      <c r="H403" s="25">
        <f>H404+H406+H408+H412+H413</f>
        <v>0</v>
      </c>
      <c r="I403" s="26"/>
      <c r="J403" s="26"/>
      <c r="K403" s="26"/>
      <c r="L403" s="25">
        <f>L404+L406+L408+L412+L413</f>
        <v>791.8</v>
      </c>
      <c r="M403" s="26">
        <v>0</v>
      </c>
      <c r="N403" s="26">
        <v>0</v>
      </c>
      <c r="O403" s="26">
        <v>0</v>
      </c>
      <c r="P403" s="25">
        <f>P404+P406+P408+P412+P413</f>
        <v>7918</v>
      </c>
      <c r="Q403" s="26">
        <v>0</v>
      </c>
      <c r="R403" s="26">
        <v>0</v>
      </c>
      <c r="S403" s="26">
        <v>0</v>
      </c>
      <c r="T403" s="25">
        <f>H403+L403+P403</f>
        <v>8709.7999999999993</v>
      </c>
      <c r="U403" s="25">
        <f>I403+M403+Q403</f>
        <v>0</v>
      </c>
      <c r="V403" s="25">
        <f t="shared" ref="V403:W404" si="251">J403+N403+R403</f>
        <v>0</v>
      </c>
      <c r="W403" s="25">
        <f t="shared" si="251"/>
        <v>0</v>
      </c>
      <c r="X403" s="26"/>
      <c r="Y403" s="26"/>
      <c r="Z403" s="360"/>
    </row>
    <row r="404" spans="1:26">
      <c r="A404" s="314"/>
      <c r="B404" s="22" t="s">
        <v>127</v>
      </c>
      <c r="C404" s="322"/>
      <c r="D404" s="307"/>
      <c r="E404" s="393"/>
      <c r="F404" s="326"/>
      <c r="G404" s="323">
        <f>X404+Y404</f>
        <v>8709.7999999999993</v>
      </c>
      <c r="H404" s="323"/>
      <c r="I404" s="134"/>
      <c r="J404" s="134"/>
      <c r="K404" s="134"/>
      <c r="L404" s="323">
        <v>791.8</v>
      </c>
      <c r="M404" s="134"/>
      <c r="N404" s="134"/>
      <c r="O404" s="134"/>
      <c r="P404" s="323">
        <v>7918</v>
      </c>
      <c r="Q404" s="245"/>
      <c r="R404" s="245"/>
      <c r="S404" s="245"/>
      <c r="T404" s="323">
        <f>H404+L404+P404</f>
        <v>8709.7999999999993</v>
      </c>
      <c r="U404" s="323">
        <f>I404+M404+Q404</f>
        <v>0</v>
      </c>
      <c r="V404" s="323">
        <f t="shared" si="251"/>
        <v>0</v>
      </c>
      <c r="W404" s="323">
        <f t="shared" si="251"/>
        <v>0</v>
      </c>
      <c r="X404" s="323">
        <v>791.8</v>
      </c>
      <c r="Y404" s="323">
        <v>7918</v>
      </c>
      <c r="Z404" s="307"/>
    </row>
    <row r="405" spans="1:26">
      <c r="A405" s="314"/>
      <c r="B405" s="40" t="s">
        <v>27</v>
      </c>
      <c r="C405" s="322"/>
      <c r="D405" s="307"/>
      <c r="E405" s="393"/>
      <c r="F405" s="326"/>
      <c r="G405" s="324"/>
      <c r="H405" s="324"/>
      <c r="I405" s="136"/>
      <c r="J405" s="136"/>
      <c r="K405" s="136"/>
      <c r="L405" s="324"/>
      <c r="M405" s="136"/>
      <c r="N405" s="136"/>
      <c r="O405" s="136"/>
      <c r="P405" s="324"/>
      <c r="Q405" s="247"/>
      <c r="R405" s="247"/>
      <c r="S405" s="247"/>
      <c r="T405" s="324">
        <f t="shared" ref="T405:U405" si="252">H405+L405</f>
        <v>0</v>
      </c>
      <c r="U405" s="324">
        <f t="shared" si="252"/>
        <v>0</v>
      </c>
      <c r="V405" s="324">
        <f t="shared" ref="V405" si="253">J405+N405</f>
        <v>0</v>
      </c>
      <c r="W405" s="324">
        <f t="shared" ref="W405" si="254">K405+O405</f>
        <v>0</v>
      </c>
      <c r="X405" s="324"/>
      <c r="Y405" s="324"/>
      <c r="Z405" s="307"/>
    </row>
    <row r="406" spans="1:26">
      <c r="A406" s="314"/>
      <c r="B406" s="23" t="s">
        <v>29</v>
      </c>
      <c r="C406" s="322"/>
      <c r="D406" s="307"/>
      <c r="E406" s="393"/>
      <c r="F406" s="326"/>
      <c r="G406" s="150">
        <v>0</v>
      </c>
      <c r="H406" s="136"/>
      <c r="I406" s="136"/>
      <c r="J406" s="136"/>
      <c r="K406" s="136"/>
      <c r="L406" s="150">
        <v>0</v>
      </c>
      <c r="M406" s="136"/>
      <c r="N406" s="136"/>
      <c r="O406" s="136"/>
      <c r="P406" s="254">
        <v>0</v>
      </c>
      <c r="Q406" s="247"/>
      <c r="R406" s="247"/>
      <c r="S406" s="247"/>
      <c r="T406" s="150">
        <f>H406+L406</f>
        <v>0</v>
      </c>
      <c r="U406" s="257">
        <f>I406+M406+Q406</f>
        <v>0</v>
      </c>
      <c r="V406" s="150">
        <f>J406+N406</f>
        <v>0</v>
      </c>
      <c r="W406" s="150">
        <f>K406+O406</f>
        <v>0</v>
      </c>
      <c r="X406" s="136"/>
      <c r="Y406" s="136"/>
      <c r="Z406" s="307"/>
    </row>
    <row r="407" spans="1:26">
      <c r="A407" s="314"/>
      <c r="B407" s="44" t="s">
        <v>39</v>
      </c>
      <c r="C407" s="322"/>
      <c r="D407" s="307"/>
      <c r="E407" s="393"/>
      <c r="F407" s="326"/>
      <c r="G407" s="151">
        <v>0</v>
      </c>
      <c r="H407" s="136"/>
      <c r="I407" s="136"/>
      <c r="J407" s="136"/>
      <c r="K407" s="136"/>
      <c r="L407" s="151">
        <v>0</v>
      </c>
      <c r="M407" s="136"/>
      <c r="N407" s="136"/>
      <c r="O407" s="136"/>
      <c r="P407" s="253">
        <v>0</v>
      </c>
      <c r="Q407" s="247"/>
      <c r="R407" s="247"/>
      <c r="S407" s="247"/>
      <c r="T407" s="151">
        <f t="shared" ref="T407:W413" si="255">H407+L407</f>
        <v>0</v>
      </c>
      <c r="U407" s="258">
        <f>I407+M407+Q407</f>
        <v>0</v>
      </c>
      <c r="V407" s="151">
        <f t="shared" si="255"/>
        <v>0</v>
      </c>
      <c r="W407" s="151">
        <f t="shared" si="255"/>
        <v>0</v>
      </c>
      <c r="X407" s="136"/>
      <c r="Y407" s="136"/>
      <c r="Z407" s="307"/>
    </row>
    <row r="408" spans="1:26">
      <c r="A408" s="314"/>
      <c r="B408" s="23" t="s">
        <v>30</v>
      </c>
      <c r="C408" s="322"/>
      <c r="D408" s="307"/>
      <c r="E408" s="393"/>
      <c r="F408" s="326"/>
      <c r="G408" s="150">
        <v>0</v>
      </c>
      <c r="H408" s="136"/>
      <c r="I408" s="136"/>
      <c r="J408" s="136"/>
      <c r="K408" s="136"/>
      <c r="L408" s="150">
        <v>0</v>
      </c>
      <c r="M408" s="136"/>
      <c r="N408" s="136"/>
      <c r="O408" s="136"/>
      <c r="P408" s="254">
        <v>0</v>
      </c>
      <c r="Q408" s="247"/>
      <c r="R408" s="247"/>
      <c r="S408" s="247"/>
      <c r="T408" s="150">
        <f t="shared" si="255"/>
        <v>0</v>
      </c>
      <c r="U408" s="257">
        <f>I408+M408+Q408</f>
        <v>0</v>
      </c>
      <c r="V408" s="150">
        <f t="shared" si="255"/>
        <v>0</v>
      </c>
      <c r="W408" s="150">
        <f t="shared" si="255"/>
        <v>0</v>
      </c>
      <c r="X408" s="136"/>
      <c r="Y408" s="136"/>
      <c r="Z408" s="307"/>
    </row>
    <row r="409" spans="1:26">
      <c r="A409" s="314"/>
      <c r="B409" s="44" t="s">
        <v>41</v>
      </c>
      <c r="C409" s="391"/>
      <c r="D409" s="393"/>
      <c r="E409" s="393"/>
      <c r="F409" s="393"/>
      <c r="G409" s="151">
        <v>0</v>
      </c>
      <c r="H409" s="140"/>
      <c r="I409" s="140"/>
      <c r="J409" s="140"/>
      <c r="K409" s="140"/>
      <c r="L409" s="151">
        <v>0</v>
      </c>
      <c r="M409" s="140"/>
      <c r="N409" s="140"/>
      <c r="O409" s="140"/>
      <c r="P409" s="253">
        <v>0</v>
      </c>
      <c r="Q409" s="254"/>
      <c r="R409" s="254"/>
      <c r="S409" s="254"/>
      <c r="T409" s="151">
        <f t="shared" si="255"/>
        <v>0</v>
      </c>
      <c r="U409" s="258">
        <f>I409+M409+Q409</f>
        <v>0</v>
      </c>
      <c r="V409" s="151">
        <f t="shared" si="255"/>
        <v>0</v>
      </c>
      <c r="W409" s="151">
        <f t="shared" si="255"/>
        <v>0</v>
      </c>
      <c r="X409" s="140"/>
      <c r="Y409" s="140"/>
      <c r="Z409" s="393"/>
    </row>
    <row r="410" spans="1:26">
      <c r="A410" s="314"/>
      <c r="B410" s="41" t="s">
        <v>32</v>
      </c>
      <c r="C410" s="391"/>
      <c r="D410" s="393"/>
      <c r="E410" s="393"/>
      <c r="F410" s="393"/>
      <c r="G410" s="151">
        <v>0</v>
      </c>
      <c r="H410" s="140"/>
      <c r="I410" s="140"/>
      <c r="J410" s="140"/>
      <c r="K410" s="140"/>
      <c r="L410" s="151">
        <v>0</v>
      </c>
      <c r="M410" s="140"/>
      <c r="N410" s="140"/>
      <c r="O410" s="140"/>
      <c r="P410" s="253">
        <v>0</v>
      </c>
      <c r="Q410" s="254"/>
      <c r="R410" s="254"/>
      <c r="S410" s="254"/>
      <c r="T410" s="151">
        <f t="shared" si="255"/>
        <v>0</v>
      </c>
      <c r="U410" s="258">
        <f t="shared" ref="U410:U411" si="256">I410+M410+Q410</f>
        <v>0</v>
      </c>
      <c r="V410" s="151">
        <f t="shared" si="255"/>
        <v>0</v>
      </c>
      <c r="W410" s="151">
        <f t="shared" si="255"/>
        <v>0</v>
      </c>
      <c r="X410" s="140"/>
      <c r="Y410" s="140"/>
      <c r="Z410" s="393"/>
    </row>
    <row r="411" spans="1:26">
      <c r="A411" s="314"/>
      <c r="B411" s="41" t="s">
        <v>33</v>
      </c>
      <c r="C411" s="391"/>
      <c r="D411" s="393"/>
      <c r="E411" s="393"/>
      <c r="F411" s="393"/>
      <c r="G411" s="151">
        <v>0</v>
      </c>
      <c r="H411" s="140"/>
      <c r="I411" s="140"/>
      <c r="J411" s="140"/>
      <c r="K411" s="140"/>
      <c r="L411" s="151">
        <v>0</v>
      </c>
      <c r="M411" s="140"/>
      <c r="N411" s="140"/>
      <c r="O411" s="140"/>
      <c r="P411" s="253">
        <v>0</v>
      </c>
      <c r="Q411" s="254"/>
      <c r="R411" s="254"/>
      <c r="S411" s="254"/>
      <c r="T411" s="151">
        <f t="shared" si="255"/>
        <v>0</v>
      </c>
      <c r="U411" s="258">
        <f t="shared" si="256"/>
        <v>0</v>
      </c>
      <c r="V411" s="151">
        <f t="shared" si="255"/>
        <v>0</v>
      </c>
      <c r="W411" s="151">
        <f t="shared" si="255"/>
        <v>0</v>
      </c>
      <c r="X411" s="140"/>
      <c r="Y411" s="140"/>
      <c r="Z411" s="393"/>
    </row>
    <row r="412" spans="1:26">
      <c r="A412" s="314"/>
      <c r="B412" s="23" t="s">
        <v>37</v>
      </c>
      <c r="C412" s="391"/>
      <c r="D412" s="393"/>
      <c r="E412" s="393"/>
      <c r="F412" s="393"/>
      <c r="G412" s="150">
        <v>0</v>
      </c>
      <c r="H412" s="140"/>
      <c r="I412" s="140"/>
      <c r="J412" s="140"/>
      <c r="K412" s="140"/>
      <c r="L412" s="150">
        <v>0</v>
      </c>
      <c r="M412" s="140"/>
      <c r="N412" s="140"/>
      <c r="O412" s="140"/>
      <c r="P412" s="254">
        <v>0</v>
      </c>
      <c r="Q412" s="254"/>
      <c r="R412" s="254"/>
      <c r="S412" s="254"/>
      <c r="T412" s="150">
        <f t="shared" si="255"/>
        <v>0</v>
      </c>
      <c r="U412" s="257">
        <f>I412+M412+Q412</f>
        <v>0</v>
      </c>
      <c r="V412" s="150">
        <f t="shared" si="255"/>
        <v>0</v>
      </c>
      <c r="W412" s="150">
        <f t="shared" si="255"/>
        <v>0</v>
      </c>
      <c r="X412" s="140"/>
      <c r="Y412" s="140"/>
      <c r="Z412" s="393"/>
    </row>
    <row r="413" spans="1:26">
      <c r="A413" s="314"/>
      <c r="B413" s="23" t="s">
        <v>38</v>
      </c>
      <c r="C413" s="392"/>
      <c r="D413" s="394"/>
      <c r="E413" s="394"/>
      <c r="F413" s="394"/>
      <c r="G413" s="150">
        <v>0</v>
      </c>
      <c r="H413" s="140"/>
      <c r="I413" s="140"/>
      <c r="J413" s="140"/>
      <c r="K413" s="140"/>
      <c r="L413" s="150">
        <v>0</v>
      </c>
      <c r="M413" s="140"/>
      <c r="N413" s="140"/>
      <c r="O413" s="140"/>
      <c r="P413" s="254">
        <v>0</v>
      </c>
      <c r="Q413" s="254"/>
      <c r="R413" s="254"/>
      <c r="S413" s="254"/>
      <c r="T413" s="150">
        <f t="shared" si="255"/>
        <v>0</v>
      </c>
      <c r="U413" s="257">
        <f>I413+M413+Q413</f>
        <v>0</v>
      </c>
      <c r="V413" s="150">
        <f t="shared" si="255"/>
        <v>0</v>
      </c>
      <c r="W413" s="150">
        <f t="shared" si="255"/>
        <v>0</v>
      </c>
      <c r="X413" s="140"/>
      <c r="Y413" s="140"/>
      <c r="Z413" s="394"/>
    </row>
    <row r="414" spans="1:26" ht="27" customHeight="1">
      <c r="A414" s="313" t="s">
        <v>103</v>
      </c>
      <c r="B414" s="71" t="s">
        <v>120</v>
      </c>
      <c r="C414" s="321" t="s">
        <v>58</v>
      </c>
      <c r="D414" s="304" t="s">
        <v>51</v>
      </c>
      <c r="E414" s="328">
        <v>23</v>
      </c>
      <c r="F414" s="325" t="s">
        <v>17</v>
      </c>
      <c r="G414" s="25">
        <f>G415+G417+G419+G423+G424</f>
        <v>787252.1</v>
      </c>
      <c r="H414" s="25">
        <f>H415+H417+H419+H423+H424</f>
        <v>0</v>
      </c>
      <c r="I414" s="26"/>
      <c r="J414" s="26"/>
      <c r="K414" s="26"/>
      <c r="L414" s="25">
        <f>L415+L417+L419+L423+L424</f>
        <v>425637.1</v>
      </c>
      <c r="M414" s="26">
        <v>0</v>
      </c>
      <c r="N414" s="26">
        <v>0</v>
      </c>
      <c r="O414" s="26">
        <v>0</v>
      </c>
      <c r="P414" s="25">
        <f>P415+P417+P419+P423+P424</f>
        <v>361615</v>
      </c>
      <c r="Q414" s="26">
        <v>0</v>
      </c>
      <c r="R414" s="26">
        <v>0</v>
      </c>
      <c r="S414" s="26">
        <v>0</v>
      </c>
      <c r="T414" s="25">
        <f>H414+L414+P414</f>
        <v>787252.1</v>
      </c>
      <c r="U414" s="25">
        <f>I414+M414+Q414</f>
        <v>0</v>
      </c>
      <c r="V414" s="25">
        <f t="shared" ref="V414:W415" si="257">J414+N414+R414</f>
        <v>0</v>
      </c>
      <c r="W414" s="25">
        <f t="shared" si="257"/>
        <v>0</v>
      </c>
      <c r="X414" s="26"/>
      <c r="Y414" s="26"/>
      <c r="Z414" s="360"/>
    </row>
    <row r="415" spans="1:26">
      <c r="A415" s="314"/>
      <c r="B415" s="22" t="s">
        <v>127</v>
      </c>
      <c r="C415" s="322"/>
      <c r="D415" s="307"/>
      <c r="E415" s="393"/>
      <c r="F415" s="326"/>
      <c r="G415" s="323">
        <v>787252.1</v>
      </c>
      <c r="H415" s="323"/>
      <c r="I415" s="134"/>
      <c r="J415" s="134"/>
      <c r="K415" s="134"/>
      <c r="L415" s="323">
        <v>425637.1</v>
      </c>
      <c r="M415" s="134"/>
      <c r="N415" s="134"/>
      <c r="O415" s="134"/>
      <c r="P415" s="323">
        <v>361615</v>
      </c>
      <c r="Q415" s="245"/>
      <c r="R415" s="245"/>
      <c r="S415" s="245"/>
      <c r="T415" s="323">
        <f>H415+L415+P415</f>
        <v>787252.1</v>
      </c>
      <c r="U415" s="323">
        <f>I415+M415+Q415</f>
        <v>0</v>
      </c>
      <c r="V415" s="323">
        <f t="shared" si="257"/>
        <v>0</v>
      </c>
      <c r="W415" s="323">
        <f t="shared" si="257"/>
        <v>0</v>
      </c>
      <c r="X415" s="323">
        <v>425637.1</v>
      </c>
      <c r="Y415" s="323">
        <f>355078.1+6536.9</f>
        <v>361615</v>
      </c>
      <c r="Z415" s="307"/>
    </row>
    <row r="416" spans="1:26">
      <c r="A416" s="314"/>
      <c r="B416" s="40" t="s">
        <v>27</v>
      </c>
      <c r="C416" s="322"/>
      <c r="D416" s="307"/>
      <c r="E416" s="393"/>
      <c r="F416" s="326"/>
      <c r="G416" s="324"/>
      <c r="H416" s="324"/>
      <c r="I416" s="136"/>
      <c r="J416" s="136"/>
      <c r="K416" s="136"/>
      <c r="L416" s="324"/>
      <c r="M416" s="136"/>
      <c r="N416" s="136"/>
      <c r="O416" s="136"/>
      <c r="P416" s="324"/>
      <c r="Q416" s="247"/>
      <c r="R416" s="247"/>
      <c r="S416" s="247"/>
      <c r="T416" s="324">
        <f t="shared" ref="T416:U416" si="258">H416+L416</f>
        <v>0</v>
      </c>
      <c r="U416" s="324">
        <f t="shared" si="258"/>
        <v>0</v>
      </c>
      <c r="V416" s="324">
        <f t="shared" ref="V416" si="259">J416+N416</f>
        <v>0</v>
      </c>
      <c r="W416" s="324">
        <f t="shared" ref="W416" si="260">K416+O416</f>
        <v>0</v>
      </c>
      <c r="X416" s="324"/>
      <c r="Y416" s="324"/>
      <c r="Z416" s="307"/>
    </row>
    <row r="417" spans="1:27">
      <c r="A417" s="314"/>
      <c r="B417" s="23" t="s">
        <v>29</v>
      </c>
      <c r="C417" s="322"/>
      <c r="D417" s="307"/>
      <c r="E417" s="393"/>
      <c r="F417" s="326"/>
      <c r="G417" s="150">
        <v>0</v>
      </c>
      <c r="H417" s="136"/>
      <c r="I417" s="136"/>
      <c r="J417" s="136"/>
      <c r="K417" s="136"/>
      <c r="L417" s="150">
        <v>0</v>
      </c>
      <c r="M417" s="136"/>
      <c r="N417" s="136"/>
      <c r="O417" s="136"/>
      <c r="P417" s="254">
        <v>0</v>
      </c>
      <c r="Q417" s="247"/>
      <c r="R417" s="247"/>
      <c r="S417" s="247"/>
      <c r="T417" s="150">
        <f>H417+L417</f>
        <v>0</v>
      </c>
      <c r="U417" s="257">
        <f>I417+M417+Q417</f>
        <v>0</v>
      </c>
      <c r="V417" s="150">
        <f>J417+N417</f>
        <v>0</v>
      </c>
      <c r="W417" s="150">
        <f>K417+O417</f>
        <v>0</v>
      </c>
      <c r="X417" s="136"/>
      <c r="Y417" s="136"/>
      <c r="Z417" s="307"/>
    </row>
    <row r="418" spans="1:27">
      <c r="A418" s="314"/>
      <c r="B418" s="44" t="s">
        <v>39</v>
      </c>
      <c r="C418" s="322"/>
      <c r="D418" s="307"/>
      <c r="E418" s="393"/>
      <c r="F418" s="326"/>
      <c r="G418" s="151">
        <v>0</v>
      </c>
      <c r="H418" s="136"/>
      <c r="I418" s="136"/>
      <c r="J418" s="136"/>
      <c r="K418" s="136"/>
      <c r="L418" s="151">
        <v>0</v>
      </c>
      <c r="M418" s="136"/>
      <c r="N418" s="136"/>
      <c r="O418" s="136"/>
      <c r="P418" s="253">
        <v>0</v>
      </c>
      <c r="Q418" s="247"/>
      <c r="R418" s="247"/>
      <c r="S418" s="247"/>
      <c r="T418" s="151">
        <f t="shared" ref="T418:W424" si="261">H418+L418</f>
        <v>0</v>
      </c>
      <c r="U418" s="258">
        <f>I418+M418+Q418</f>
        <v>0</v>
      </c>
      <c r="V418" s="151">
        <f t="shared" si="261"/>
        <v>0</v>
      </c>
      <c r="W418" s="151">
        <f t="shared" si="261"/>
        <v>0</v>
      </c>
      <c r="X418" s="136"/>
      <c r="Y418" s="136"/>
      <c r="Z418" s="307"/>
    </row>
    <row r="419" spans="1:27">
      <c r="A419" s="314"/>
      <c r="B419" s="23" t="s">
        <v>30</v>
      </c>
      <c r="C419" s="322"/>
      <c r="D419" s="307"/>
      <c r="E419" s="393"/>
      <c r="F419" s="326"/>
      <c r="G419" s="150">
        <v>0</v>
      </c>
      <c r="H419" s="136"/>
      <c r="I419" s="136"/>
      <c r="J419" s="136"/>
      <c r="K419" s="136"/>
      <c r="L419" s="150">
        <v>0</v>
      </c>
      <c r="M419" s="136"/>
      <c r="N419" s="136"/>
      <c r="O419" s="136"/>
      <c r="P419" s="254">
        <v>0</v>
      </c>
      <c r="Q419" s="247"/>
      <c r="R419" s="247"/>
      <c r="S419" s="247"/>
      <c r="T419" s="150">
        <f t="shared" si="261"/>
        <v>0</v>
      </c>
      <c r="U419" s="257">
        <f>I419+M419+Q419</f>
        <v>0</v>
      </c>
      <c r="V419" s="150">
        <f t="shared" si="261"/>
        <v>0</v>
      </c>
      <c r="W419" s="150">
        <f t="shared" si="261"/>
        <v>0</v>
      </c>
      <c r="X419" s="136"/>
      <c r="Y419" s="136"/>
      <c r="Z419" s="307"/>
    </row>
    <row r="420" spans="1:27">
      <c r="A420" s="314"/>
      <c r="B420" s="44" t="s">
        <v>41</v>
      </c>
      <c r="C420" s="391"/>
      <c r="D420" s="393"/>
      <c r="E420" s="393"/>
      <c r="F420" s="393"/>
      <c r="G420" s="151">
        <v>0</v>
      </c>
      <c r="H420" s="140"/>
      <c r="I420" s="140"/>
      <c r="J420" s="140"/>
      <c r="K420" s="140"/>
      <c r="L420" s="151">
        <v>0</v>
      </c>
      <c r="M420" s="140"/>
      <c r="N420" s="140"/>
      <c r="O420" s="140"/>
      <c r="P420" s="253">
        <v>0</v>
      </c>
      <c r="Q420" s="254"/>
      <c r="R420" s="254"/>
      <c r="S420" s="254"/>
      <c r="T420" s="151">
        <f t="shared" si="261"/>
        <v>0</v>
      </c>
      <c r="U420" s="258">
        <f>I420+M420+Q420</f>
        <v>0</v>
      </c>
      <c r="V420" s="151">
        <f t="shared" si="261"/>
        <v>0</v>
      </c>
      <c r="W420" s="151">
        <f t="shared" si="261"/>
        <v>0</v>
      </c>
      <c r="X420" s="140"/>
      <c r="Y420" s="140"/>
      <c r="Z420" s="393"/>
    </row>
    <row r="421" spans="1:27">
      <c r="A421" s="314"/>
      <c r="B421" s="41" t="s">
        <v>32</v>
      </c>
      <c r="C421" s="391"/>
      <c r="D421" s="393"/>
      <c r="E421" s="393"/>
      <c r="F421" s="393"/>
      <c r="G421" s="151">
        <v>0</v>
      </c>
      <c r="H421" s="140"/>
      <c r="I421" s="140"/>
      <c r="J421" s="140"/>
      <c r="K421" s="140"/>
      <c r="L421" s="151">
        <v>0</v>
      </c>
      <c r="M421" s="140"/>
      <c r="N421" s="140"/>
      <c r="O421" s="140"/>
      <c r="P421" s="253">
        <v>0</v>
      </c>
      <c r="Q421" s="254"/>
      <c r="R421" s="254"/>
      <c r="S421" s="254"/>
      <c r="T421" s="151">
        <f t="shared" si="261"/>
        <v>0</v>
      </c>
      <c r="U421" s="258">
        <f t="shared" ref="U421:U422" si="262">I421+M421+Q421</f>
        <v>0</v>
      </c>
      <c r="V421" s="151">
        <f t="shared" si="261"/>
        <v>0</v>
      </c>
      <c r="W421" s="151">
        <f t="shared" si="261"/>
        <v>0</v>
      </c>
      <c r="X421" s="140"/>
      <c r="Y421" s="140"/>
      <c r="Z421" s="393"/>
    </row>
    <row r="422" spans="1:27">
      <c r="A422" s="314"/>
      <c r="B422" s="41" t="s">
        <v>33</v>
      </c>
      <c r="C422" s="391"/>
      <c r="D422" s="393"/>
      <c r="E422" s="393"/>
      <c r="F422" s="393"/>
      <c r="G422" s="151">
        <v>0</v>
      </c>
      <c r="H422" s="140"/>
      <c r="I422" s="140"/>
      <c r="J422" s="140"/>
      <c r="K422" s="140"/>
      <c r="L422" s="151">
        <v>0</v>
      </c>
      <c r="M422" s="140"/>
      <c r="N422" s="140"/>
      <c r="O422" s="140"/>
      <c r="P422" s="253">
        <v>0</v>
      </c>
      <c r="Q422" s="254"/>
      <c r="R422" s="254"/>
      <c r="S422" s="254"/>
      <c r="T422" s="151">
        <f t="shared" si="261"/>
        <v>0</v>
      </c>
      <c r="U422" s="258">
        <f t="shared" si="262"/>
        <v>0</v>
      </c>
      <c r="V422" s="151">
        <f t="shared" si="261"/>
        <v>0</v>
      </c>
      <c r="W422" s="151">
        <f t="shared" si="261"/>
        <v>0</v>
      </c>
      <c r="X422" s="140"/>
      <c r="Y422" s="140"/>
      <c r="Z422" s="393"/>
    </row>
    <row r="423" spans="1:27">
      <c r="A423" s="314"/>
      <c r="B423" s="23" t="s">
        <v>37</v>
      </c>
      <c r="C423" s="391"/>
      <c r="D423" s="393"/>
      <c r="E423" s="393"/>
      <c r="F423" s="393"/>
      <c r="G423" s="150">
        <v>0</v>
      </c>
      <c r="H423" s="140"/>
      <c r="I423" s="140"/>
      <c r="J423" s="140"/>
      <c r="K423" s="140"/>
      <c r="L423" s="150">
        <v>0</v>
      </c>
      <c r="M423" s="140"/>
      <c r="N423" s="140"/>
      <c r="O423" s="140"/>
      <c r="P423" s="254">
        <v>0</v>
      </c>
      <c r="Q423" s="254"/>
      <c r="R423" s="254"/>
      <c r="S423" s="254"/>
      <c r="T423" s="150">
        <f t="shared" si="261"/>
        <v>0</v>
      </c>
      <c r="U423" s="257">
        <f>I423+M423+Q423</f>
        <v>0</v>
      </c>
      <c r="V423" s="150">
        <f t="shared" si="261"/>
        <v>0</v>
      </c>
      <c r="W423" s="150">
        <f t="shared" si="261"/>
        <v>0</v>
      </c>
      <c r="X423" s="140"/>
      <c r="Y423" s="140"/>
      <c r="Z423" s="393"/>
    </row>
    <row r="424" spans="1:27">
      <c r="A424" s="314"/>
      <c r="B424" s="23" t="s">
        <v>38</v>
      </c>
      <c r="C424" s="392"/>
      <c r="D424" s="394"/>
      <c r="E424" s="394"/>
      <c r="F424" s="394"/>
      <c r="G424" s="150">
        <v>0</v>
      </c>
      <c r="H424" s="140"/>
      <c r="I424" s="140"/>
      <c r="J424" s="140"/>
      <c r="K424" s="140"/>
      <c r="L424" s="150">
        <v>0</v>
      </c>
      <c r="M424" s="140"/>
      <c r="N424" s="140"/>
      <c r="O424" s="140"/>
      <c r="P424" s="254">
        <v>0</v>
      </c>
      <c r="Q424" s="254"/>
      <c r="R424" s="254"/>
      <c r="S424" s="254"/>
      <c r="T424" s="150">
        <f t="shared" si="261"/>
        <v>0</v>
      </c>
      <c r="U424" s="257">
        <f>I424+M424+Q424</f>
        <v>0</v>
      </c>
      <c r="V424" s="150">
        <f t="shared" si="261"/>
        <v>0</v>
      </c>
      <c r="W424" s="150">
        <f t="shared" si="261"/>
        <v>0</v>
      </c>
      <c r="X424" s="140"/>
      <c r="Y424" s="140"/>
      <c r="Z424" s="394"/>
    </row>
    <row r="425" spans="1:27" ht="25.5">
      <c r="A425" s="313" t="s">
        <v>104</v>
      </c>
      <c r="B425" s="19" t="s">
        <v>23</v>
      </c>
      <c r="C425" s="316" t="s">
        <v>58</v>
      </c>
      <c r="D425" s="304" t="s">
        <v>1</v>
      </c>
      <c r="E425" s="328">
        <v>7.8</v>
      </c>
      <c r="F425" s="328" t="s">
        <v>18</v>
      </c>
      <c r="G425" s="25">
        <f>G426+G431+G433+G437+G438</f>
        <v>379385.5</v>
      </c>
      <c r="H425" s="25">
        <f>H426+H431+H433+H437+H438</f>
        <v>0</v>
      </c>
      <c r="I425" s="25">
        <f>I426+I431+I433+I437+I438</f>
        <v>0</v>
      </c>
      <c r="J425" s="140">
        <f>J426+J431+J433</f>
        <v>380.66399999999999</v>
      </c>
      <c r="K425" s="140">
        <f>K426+K431+K433</f>
        <v>380.66399999999999</v>
      </c>
      <c r="L425" s="140">
        <f t="shared" ref="L425" si="263">L426+L431+L433</f>
        <v>252923.6</v>
      </c>
      <c r="M425" s="140">
        <f>M426+M431+M433</f>
        <v>1261.9349999999999</v>
      </c>
      <c r="N425" s="224">
        <f t="shared" ref="N425:P425" si="264">N426+N431+N433</f>
        <v>881.27199999999993</v>
      </c>
      <c r="O425" s="224">
        <f t="shared" si="264"/>
        <v>881.27199999999993</v>
      </c>
      <c r="P425" s="254">
        <f t="shared" si="264"/>
        <v>126461.9</v>
      </c>
      <c r="Q425" s="254">
        <f>Q426+Q431+Q433</f>
        <v>0</v>
      </c>
      <c r="R425" s="254">
        <f t="shared" ref="R425:S425" si="265">R426+R431+R433</f>
        <v>0</v>
      </c>
      <c r="S425" s="254">
        <f t="shared" si="265"/>
        <v>0</v>
      </c>
      <c r="T425" s="25">
        <f>H425+L425+P425</f>
        <v>379385.5</v>
      </c>
      <c r="U425" s="25">
        <f>I425+M425+Q425</f>
        <v>1261.9349999999999</v>
      </c>
      <c r="V425" s="25">
        <f t="shared" ref="V425:W426" si="266">J425+N425+R425</f>
        <v>1261.9359999999999</v>
      </c>
      <c r="W425" s="25">
        <f t="shared" si="266"/>
        <v>1261.9359999999999</v>
      </c>
      <c r="X425" s="182"/>
      <c r="Y425" s="182"/>
      <c r="Z425" s="349"/>
    </row>
    <row r="426" spans="1:27">
      <c r="A426" s="314"/>
      <c r="B426" s="22" t="s">
        <v>127</v>
      </c>
      <c r="C426" s="317"/>
      <c r="D426" s="307"/>
      <c r="E426" s="393"/>
      <c r="F426" s="393"/>
      <c r="G426" s="323">
        <v>379385.5</v>
      </c>
      <c r="H426" s="323"/>
      <c r="I426" s="323"/>
      <c r="J426" s="323">
        <f>SUM(J428)</f>
        <v>380.66399999999999</v>
      </c>
      <c r="K426" s="323">
        <f>SUM(K428)</f>
        <v>380.66399999999999</v>
      </c>
      <c r="L426" s="323">
        <v>252923.6</v>
      </c>
      <c r="M426" s="323">
        <f>SUM(M429:M430)</f>
        <v>1261.9349999999999</v>
      </c>
      <c r="N426" s="323">
        <f>SUM(N428:N430)</f>
        <v>881.27199999999993</v>
      </c>
      <c r="O426" s="323">
        <f>SUM(O428:O430)</f>
        <v>881.27199999999993</v>
      </c>
      <c r="P426" s="323">
        <v>126461.9</v>
      </c>
      <c r="Q426" s="323">
        <f>SUM(Q429:Q430)</f>
        <v>0</v>
      </c>
      <c r="R426" s="323">
        <f>SUM(R428:R430)</f>
        <v>0</v>
      </c>
      <c r="S426" s="323">
        <f>SUM(S428:S430)</f>
        <v>0</v>
      </c>
      <c r="T426" s="323">
        <f>H426+L426+P426</f>
        <v>379385.5</v>
      </c>
      <c r="U426" s="323">
        <f>I426+M426+Q426</f>
        <v>1261.9349999999999</v>
      </c>
      <c r="V426" s="323">
        <f t="shared" si="266"/>
        <v>1261.9359999999999</v>
      </c>
      <c r="W426" s="323">
        <f t="shared" si="266"/>
        <v>1261.9359999999999</v>
      </c>
      <c r="X426" s="323">
        <f>126461.8*2</f>
        <v>252923.6</v>
      </c>
      <c r="Y426" s="323">
        <v>126461.9</v>
      </c>
      <c r="Z426" s="350"/>
    </row>
    <row r="427" spans="1:27">
      <c r="A427" s="314"/>
      <c r="B427" s="40" t="s">
        <v>27</v>
      </c>
      <c r="C427" s="317"/>
      <c r="D427" s="307"/>
      <c r="E427" s="393"/>
      <c r="F427" s="393"/>
      <c r="G427" s="394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  <c r="T427" s="324">
        <f t="shared" ref="T427:U427" si="267">H427+L427</f>
        <v>0</v>
      </c>
      <c r="U427" s="324">
        <f t="shared" si="267"/>
        <v>0</v>
      </c>
      <c r="V427" s="324">
        <f t="shared" ref="V427" si="268">J427+N427</f>
        <v>0</v>
      </c>
      <c r="W427" s="324">
        <f t="shared" ref="W427" si="269">K427+O427</f>
        <v>0</v>
      </c>
      <c r="X427" s="324"/>
      <c r="Y427" s="324"/>
      <c r="Z427" s="350"/>
    </row>
    <row r="428" spans="1:27" ht="12.75" hidden="1" customHeight="1">
      <c r="A428" s="314"/>
      <c r="B428" s="115"/>
      <c r="C428" s="317"/>
      <c r="D428" s="307"/>
      <c r="E428" s="393"/>
      <c r="F428" s="393"/>
      <c r="G428" s="105"/>
      <c r="H428" s="136"/>
      <c r="I428" s="136"/>
      <c r="J428" s="117">
        <v>380.66399999999999</v>
      </c>
      <c r="K428" s="117">
        <v>380.66399999999999</v>
      </c>
      <c r="L428" s="117"/>
      <c r="M428" s="117"/>
      <c r="N428" s="117"/>
      <c r="O428" s="117"/>
      <c r="P428" s="117"/>
      <c r="Q428" s="117"/>
      <c r="R428" s="117"/>
      <c r="S428" s="117"/>
      <c r="T428" s="150">
        <f>H428+L428</f>
        <v>0</v>
      </c>
      <c r="U428" s="118">
        <f>I428+M428+Q428</f>
        <v>0</v>
      </c>
      <c r="V428" s="150">
        <f>J428+N428</f>
        <v>380.66399999999999</v>
      </c>
      <c r="W428" s="150">
        <f>K428+O428</f>
        <v>380.66399999999999</v>
      </c>
      <c r="X428" s="136"/>
      <c r="Y428" s="136"/>
      <c r="Z428" s="350"/>
      <c r="AA428" s="169"/>
    </row>
    <row r="429" spans="1:27" s="185" customFormat="1" ht="12.75" hidden="1" customHeight="1">
      <c r="A429" s="314"/>
      <c r="B429" s="115" t="s">
        <v>217</v>
      </c>
      <c r="C429" s="317"/>
      <c r="D429" s="307"/>
      <c r="E429" s="393"/>
      <c r="F429" s="393"/>
      <c r="G429" s="184"/>
      <c r="H429" s="116"/>
      <c r="I429" s="116"/>
      <c r="J429" s="117"/>
      <c r="K429" s="117"/>
      <c r="L429" s="117"/>
      <c r="M429" s="117">
        <v>244.435</v>
      </c>
      <c r="N429" s="117">
        <f>73.331+171.105</f>
        <v>244.43599999999998</v>
      </c>
      <c r="O429" s="117">
        <f>73.331+171.105</f>
        <v>244.43599999999998</v>
      </c>
      <c r="P429" s="117"/>
      <c r="Q429" s="117"/>
      <c r="R429" s="117"/>
      <c r="S429" s="117"/>
      <c r="T429" s="222"/>
      <c r="U429" s="118">
        <f t="shared" ref="U429:U430" si="270">I429+M429+Q429</f>
        <v>244.435</v>
      </c>
      <c r="V429" s="222"/>
      <c r="W429" s="222"/>
      <c r="X429" s="116"/>
      <c r="Y429" s="116"/>
      <c r="Z429" s="350"/>
    </row>
    <row r="430" spans="1:27" s="169" customFormat="1" ht="12.75" hidden="1" customHeight="1">
      <c r="A430" s="314"/>
      <c r="B430" s="115" t="s">
        <v>170</v>
      </c>
      <c r="C430" s="317"/>
      <c r="D430" s="307"/>
      <c r="E430" s="393"/>
      <c r="F430" s="393"/>
      <c r="G430" s="168"/>
      <c r="H430" s="118"/>
      <c r="I430" s="118"/>
      <c r="J430" s="117"/>
      <c r="K430" s="117"/>
      <c r="L430" s="117"/>
      <c r="M430" s="117">
        <v>1017.5</v>
      </c>
      <c r="N430" s="117">
        <f>5+631.836</f>
        <v>636.83600000000001</v>
      </c>
      <c r="O430" s="117">
        <f>5+631.836</f>
        <v>636.83600000000001</v>
      </c>
      <c r="P430" s="117"/>
      <c r="Q430" s="117"/>
      <c r="R430" s="117"/>
      <c r="S430" s="117"/>
      <c r="T430" s="232"/>
      <c r="U430" s="118">
        <f t="shared" si="270"/>
        <v>1017.5</v>
      </c>
      <c r="V430" s="232"/>
      <c r="W430" s="232"/>
      <c r="X430" s="118"/>
      <c r="Y430" s="118"/>
      <c r="Z430" s="350"/>
    </row>
    <row r="431" spans="1:27">
      <c r="A431" s="314"/>
      <c r="B431" s="23" t="s">
        <v>29</v>
      </c>
      <c r="C431" s="317"/>
      <c r="D431" s="307"/>
      <c r="E431" s="393"/>
      <c r="F431" s="393"/>
      <c r="G431" s="150">
        <v>0</v>
      </c>
      <c r="H431" s="136"/>
      <c r="I431" s="136"/>
      <c r="J431" s="136"/>
      <c r="K431" s="136"/>
      <c r="L431" s="150">
        <v>0</v>
      </c>
      <c r="M431" s="136"/>
      <c r="N431" s="136"/>
      <c r="O431" s="136"/>
      <c r="P431" s="254">
        <v>0</v>
      </c>
      <c r="Q431" s="247"/>
      <c r="R431" s="247"/>
      <c r="S431" s="247"/>
      <c r="T431" s="150">
        <f t="shared" ref="T431:W438" si="271">H431+L431</f>
        <v>0</v>
      </c>
      <c r="U431" s="257">
        <f>I431+M431+Q431</f>
        <v>0</v>
      </c>
      <c r="V431" s="150">
        <f t="shared" si="271"/>
        <v>0</v>
      </c>
      <c r="W431" s="150">
        <f t="shared" si="271"/>
        <v>0</v>
      </c>
      <c r="X431" s="136"/>
      <c r="Y431" s="136"/>
      <c r="Z431" s="350"/>
    </row>
    <row r="432" spans="1:27">
      <c r="A432" s="314"/>
      <c r="B432" s="44" t="s">
        <v>39</v>
      </c>
      <c r="C432" s="317"/>
      <c r="D432" s="307"/>
      <c r="E432" s="393"/>
      <c r="F432" s="393"/>
      <c r="G432" s="151">
        <v>0</v>
      </c>
      <c r="H432" s="136"/>
      <c r="I432" s="136"/>
      <c r="J432" s="136"/>
      <c r="K432" s="136"/>
      <c r="L432" s="151">
        <v>0</v>
      </c>
      <c r="M432" s="136"/>
      <c r="N432" s="136"/>
      <c r="O432" s="136"/>
      <c r="P432" s="253">
        <v>0</v>
      </c>
      <c r="Q432" s="247"/>
      <c r="R432" s="247"/>
      <c r="S432" s="247"/>
      <c r="T432" s="151">
        <f t="shared" si="271"/>
        <v>0</v>
      </c>
      <c r="U432" s="258">
        <f>I432+M432+Q432</f>
        <v>0</v>
      </c>
      <c r="V432" s="151">
        <f t="shared" si="271"/>
        <v>0</v>
      </c>
      <c r="W432" s="151">
        <f t="shared" si="271"/>
        <v>0</v>
      </c>
      <c r="X432" s="136"/>
      <c r="Y432" s="136"/>
      <c r="Z432" s="350"/>
    </row>
    <row r="433" spans="1:26">
      <c r="A433" s="314"/>
      <c r="B433" s="23" t="s">
        <v>30</v>
      </c>
      <c r="C433" s="317"/>
      <c r="D433" s="307"/>
      <c r="E433" s="393"/>
      <c r="F433" s="393"/>
      <c r="G433" s="150">
        <v>0</v>
      </c>
      <c r="H433" s="136"/>
      <c r="I433" s="136"/>
      <c r="J433" s="136"/>
      <c r="K433" s="136"/>
      <c r="L433" s="150">
        <v>0</v>
      </c>
      <c r="M433" s="136"/>
      <c r="N433" s="136"/>
      <c r="O433" s="136"/>
      <c r="P433" s="254">
        <v>0</v>
      </c>
      <c r="Q433" s="247"/>
      <c r="R433" s="247"/>
      <c r="S433" s="247"/>
      <c r="T433" s="150">
        <f t="shared" si="271"/>
        <v>0</v>
      </c>
      <c r="U433" s="257">
        <f>I433+M433+Q433</f>
        <v>0</v>
      </c>
      <c r="V433" s="150">
        <f t="shared" si="271"/>
        <v>0</v>
      </c>
      <c r="W433" s="150">
        <f t="shared" si="271"/>
        <v>0</v>
      </c>
      <c r="X433" s="136"/>
      <c r="Y433" s="136"/>
      <c r="Z433" s="350"/>
    </row>
    <row r="434" spans="1:26">
      <c r="A434" s="314"/>
      <c r="B434" s="44" t="s">
        <v>41</v>
      </c>
      <c r="C434" s="391"/>
      <c r="D434" s="393"/>
      <c r="E434" s="393"/>
      <c r="F434" s="393"/>
      <c r="G434" s="151">
        <v>0</v>
      </c>
      <c r="H434" s="140"/>
      <c r="I434" s="140"/>
      <c r="J434" s="140"/>
      <c r="K434" s="140"/>
      <c r="L434" s="151">
        <v>0</v>
      </c>
      <c r="M434" s="140"/>
      <c r="N434" s="140"/>
      <c r="O434" s="140"/>
      <c r="P434" s="253">
        <v>0</v>
      </c>
      <c r="Q434" s="254"/>
      <c r="R434" s="254"/>
      <c r="S434" s="254"/>
      <c r="T434" s="151">
        <f t="shared" si="271"/>
        <v>0</v>
      </c>
      <c r="U434" s="258">
        <f>I434+M434+Q434</f>
        <v>0</v>
      </c>
      <c r="V434" s="151">
        <f t="shared" si="271"/>
        <v>0</v>
      </c>
      <c r="W434" s="151">
        <f t="shared" si="271"/>
        <v>0</v>
      </c>
      <c r="X434" s="140"/>
      <c r="Y434" s="140"/>
      <c r="Z434" s="350"/>
    </row>
    <row r="435" spans="1:26">
      <c r="A435" s="314"/>
      <c r="B435" s="41" t="s">
        <v>32</v>
      </c>
      <c r="C435" s="391"/>
      <c r="D435" s="393"/>
      <c r="E435" s="393"/>
      <c r="F435" s="393"/>
      <c r="G435" s="151">
        <v>0</v>
      </c>
      <c r="H435" s="140"/>
      <c r="I435" s="140"/>
      <c r="J435" s="140"/>
      <c r="K435" s="140"/>
      <c r="L435" s="151">
        <v>0</v>
      </c>
      <c r="M435" s="140"/>
      <c r="N435" s="140"/>
      <c r="O435" s="140"/>
      <c r="P435" s="253">
        <v>0</v>
      </c>
      <c r="Q435" s="254"/>
      <c r="R435" s="254"/>
      <c r="S435" s="254"/>
      <c r="T435" s="151">
        <f t="shared" si="271"/>
        <v>0</v>
      </c>
      <c r="U435" s="258">
        <f t="shared" ref="U435:U436" si="272">I435+M435+Q435</f>
        <v>0</v>
      </c>
      <c r="V435" s="151">
        <f t="shared" si="271"/>
        <v>0</v>
      </c>
      <c r="W435" s="151">
        <f t="shared" si="271"/>
        <v>0</v>
      </c>
      <c r="X435" s="140"/>
      <c r="Y435" s="140"/>
      <c r="Z435" s="350"/>
    </row>
    <row r="436" spans="1:26">
      <c r="A436" s="314"/>
      <c r="B436" s="41" t="s">
        <v>33</v>
      </c>
      <c r="C436" s="391"/>
      <c r="D436" s="393"/>
      <c r="E436" s="393"/>
      <c r="F436" s="393"/>
      <c r="G436" s="151">
        <v>0</v>
      </c>
      <c r="H436" s="140"/>
      <c r="I436" s="140"/>
      <c r="J436" s="140"/>
      <c r="K436" s="140"/>
      <c r="L436" s="151">
        <v>0</v>
      </c>
      <c r="M436" s="140"/>
      <c r="N436" s="140"/>
      <c r="O436" s="140"/>
      <c r="P436" s="253">
        <v>0</v>
      </c>
      <c r="Q436" s="254"/>
      <c r="R436" s="254"/>
      <c r="S436" s="254"/>
      <c r="T436" s="151">
        <f t="shared" si="271"/>
        <v>0</v>
      </c>
      <c r="U436" s="258">
        <f t="shared" si="272"/>
        <v>0</v>
      </c>
      <c r="V436" s="151">
        <f t="shared" si="271"/>
        <v>0</v>
      </c>
      <c r="W436" s="151">
        <f t="shared" si="271"/>
        <v>0</v>
      </c>
      <c r="X436" s="140"/>
      <c r="Y436" s="140"/>
      <c r="Z436" s="350"/>
    </row>
    <row r="437" spans="1:26">
      <c r="A437" s="314"/>
      <c r="B437" s="23" t="s">
        <v>37</v>
      </c>
      <c r="C437" s="391"/>
      <c r="D437" s="393"/>
      <c r="E437" s="393"/>
      <c r="F437" s="393"/>
      <c r="G437" s="150">
        <v>0</v>
      </c>
      <c r="H437" s="140"/>
      <c r="I437" s="140"/>
      <c r="J437" s="140"/>
      <c r="K437" s="140"/>
      <c r="L437" s="150">
        <v>0</v>
      </c>
      <c r="M437" s="150"/>
      <c r="N437" s="150"/>
      <c r="O437" s="150"/>
      <c r="P437" s="254">
        <v>0</v>
      </c>
      <c r="Q437" s="254"/>
      <c r="R437" s="254"/>
      <c r="S437" s="254"/>
      <c r="T437" s="150">
        <f t="shared" si="271"/>
        <v>0</v>
      </c>
      <c r="U437" s="257">
        <f>I437+M437+Q437</f>
        <v>0</v>
      </c>
      <c r="V437" s="150">
        <f t="shared" si="271"/>
        <v>0</v>
      </c>
      <c r="W437" s="150">
        <f t="shared" si="271"/>
        <v>0</v>
      </c>
      <c r="X437" s="150"/>
      <c r="Y437" s="150"/>
      <c r="Z437" s="350"/>
    </row>
    <row r="438" spans="1:26">
      <c r="A438" s="315"/>
      <c r="B438" s="23" t="s">
        <v>38</v>
      </c>
      <c r="C438" s="392"/>
      <c r="D438" s="394"/>
      <c r="E438" s="394"/>
      <c r="F438" s="394"/>
      <c r="G438" s="150">
        <v>0</v>
      </c>
      <c r="H438" s="140"/>
      <c r="I438" s="140"/>
      <c r="J438" s="140"/>
      <c r="K438" s="140"/>
      <c r="L438" s="150">
        <v>0</v>
      </c>
      <c r="M438" s="150"/>
      <c r="N438" s="150"/>
      <c r="O438" s="150"/>
      <c r="P438" s="254">
        <v>0</v>
      </c>
      <c r="Q438" s="254"/>
      <c r="R438" s="254"/>
      <c r="S438" s="254"/>
      <c r="T438" s="150">
        <f t="shared" si="271"/>
        <v>0</v>
      </c>
      <c r="U438" s="257">
        <f>I438+M438+Q438</f>
        <v>0</v>
      </c>
      <c r="V438" s="150">
        <f t="shared" si="271"/>
        <v>0</v>
      </c>
      <c r="W438" s="150">
        <f t="shared" si="271"/>
        <v>0</v>
      </c>
      <c r="X438" s="150"/>
      <c r="Y438" s="150"/>
      <c r="Z438" s="351"/>
    </row>
    <row r="439" spans="1:26" ht="25.5">
      <c r="A439" s="313" t="s">
        <v>199</v>
      </c>
      <c r="B439" s="16" t="s">
        <v>106</v>
      </c>
      <c r="C439" s="173"/>
      <c r="D439" s="174"/>
      <c r="E439" s="175"/>
      <c r="F439" s="175"/>
      <c r="G439" s="25">
        <f>G440</f>
        <v>855.3</v>
      </c>
      <c r="H439" s="25">
        <f>H440</f>
        <v>296.5</v>
      </c>
      <c r="I439" s="25">
        <f t="shared" ref="I439:M439" si="273">I440</f>
        <v>0</v>
      </c>
      <c r="J439" s="25">
        <f t="shared" si="273"/>
        <v>247.1</v>
      </c>
      <c r="K439" s="25">
        <f t="shared" si="273"/>
        <v>247.1</v>
      </c>
      <c r="L439" s="25">
        <f t="shared" si="273"/>
        <v>558.79999999999995</v>
      </c>
      <c r="M439" s="25">
        <f t="shared" si="273"/>
        <v>0</v>
      </c>
      <c r="N439" s="25">
        <v>0</v>
      </c>
      <c r="O439" s="25">
        <v>0</v>
      </c>
      <c r="P439" s="25">
        <f>P440</f>
        <v>0</v>
      </c>
      <c r="Q439" s="25">
        <f t="shared" ref="Q439" si="274">Q440</f>
        <v>0</v>
      </c>
      <c r="R439" s="25">
        <v>0</v>
      </c>
      <c r="S439" s="25">
        <v>0</v>
      </c>
      <c r="T439" s="25">
        <f>T440</f>
        <v>855.3</v>
      </c>
      <c r="U439" s="25">
        <f>I439+M439+Q439</f>
        <v>0</v>
      </c>
      <c r="V439" s="25">
        <f t="shared" ref="V439:W440" si="275">J439+N439+R439</f>
        <v>247.1</v>
      </c>
      <c r="W439" s="25">
        <f t="shared" si="275"/>
        <v>247.1</v>
      </c>
      <c r="X439" s="25"/>
      <c r="Y439" s="25"/>
      <c r="Z439" s="135"/>
    </row>
    <row r="440" spans="1:26">
      <c r="A440" s="393"/>
      <c r="B440" s="22" t="s">
        <v>127</v>
      </c>
      <c r="C440" s="173"/>
      <c r="D440" s="174"/>
      <c r="E440" s="175"/>
      <c r="F440" s="175"/>
      <c r="G440" s="323">
        <v>855.3</v>
      </c>
      <c r="H440" s="386">
        <v>296.5</v>
      </c>
      <c r="I440" s="386"/>
      <c r="J440" s="386">
        <v>247.1</v>
      </c>
      <c r="K440" s="386">
        <v>247.1</v>
      </c>
      <c r="L440" s="386">
        <v>558.79999999999995</v>
      </c>
      <c r="M440" s="386"/>
      <c r="N440" s="137"/>
      <c r="O440" s="137"/>
      <c r="P440" s="386">
        <v>0</v>
      </c>
      <c r="Q440" s="386"/>
      <c r="R440" s="251"/>
      <c r="S440" s="251"/>
      <c r="T440" s="386">
        <v>855.3</v>
      </c>
      <c r="U440" s="323">
        <f>I440+M440+Q440</f>
        <v>0</v>
      </c>
      <c r="V440" s="323">
        <f t="shared" si="275"/>
        <v>247.1</v>
      </c>
      <c r="W440" s="323">
        <f t="shared" si="275"/>
        <v>247.1</v>
      </c>
      <c r="X440" s="323">
        <v>558.79999999999995</v>
      </c>
      <c r="Y440" s="323"/>
      <c r="Z440" s="135"/>
    </row>
    <row r="441" spans="1:26">
      <c r="A441" s="394"/>
      <c r="B441" s="40" t="s">
        <v>27</v>
      </c>
      <c r="C441" s="173"/>
      <c r="D441" s="174"/>
      <c r="E441" s="175"/>
      <c r="F441" s="175"/>
      <c r="G441" s="394"/>
      <c r="H441" s="390"/>
      <c r="I441" s="390"/>
      <c r="J441" s="390"/>
      <c r="K441" s="390"/>
      <c r="L441" s="390"/>
      <c r="M441" s="390"/>
      <c r="N441" s="138"/>
      <c r="O441" s="138"/>
      <c r="P441" s="390"/>
      <c r="Q441" s="390"/>
      <c r="R441" s="252"/>
      <c r="S441" s="252"/>
      <c r="T441" s="390"/>
      <c r="U441" s="324">
        <f t="shared" ref="U441" si="276">I441+M441</f>
        <v>0</v>
      </c>
      <c r="V441" s="324">
        <f t="shared" ref="V441" si="277">J441+N441</f>
        <v>0</v>
      </c>
      <c r="W441" s="324">
        <f t="shared" ref="W441" si="278">K441+O441</f>
        <v>0</v>
      </c>
      <c r="X441" s="324"/>
      <c r="Y441" s="324"/>
      <c r="Z441" s="135"/>
    </row>
    <row r="442" spans="1:26" ht="15">
      <c r="A442" s="298"/>
      <c r="B442" s="17" t="s">
        <v>15</v>
      </c>
      <c r="C442" s="377"/>
      <c r="D442" s="310" t="e">
        <f>G381+#REF!+#REF!+G344+G333+G322+G310+G299+G286+G275+#REF!+G264+G250+#REF!+#REF!+#REF!+#REF!+G237+#REF!+G226+G204+G193+#REF!+#REF!+#REF!+G159+G403+G392+G369+G355+G414+G425</f>
        <v>#REF!</v>
      </c>
      <c r="E442" s="358">
        <f>G382+G345+G334+G323+G311+G300+G287+G276+G265+G251+G238+G227+G205+G194+G160+G404+G393+G370+G356+G415+G426+G440</f>
        <v>1904893.2</v>
      </c>
      <c r="F442" s="301"/>
      <c r="G442" s="25">
        <f>G443+G445+G447+G451+G454</f>
        <v>3420866.9</v>
      </c>
      <c r="H442" s="25">
        <f>H443+H445+H447+H451+H454</f>
        <v>1521863.1</v>
      </c>
      <c r="I442" s="25">
        <f t="shared" ref="I442:O442" si="279">I443+I445+I447+I451+I454</f>
        <v>398181.8789999999</v>
      </c>
      <c r="J442" s="25">
        <f t="shared" si="279"/>
        <v>448054.658</v>
      </c>
      <c r="K442" s="25">
        <f t="shared" si="279"/>
        <v>448054.658</v>
      </c>
      <c r="L442" s="25">
        <f t="shared" si="279"/>
        <v>894352.29999999993</v>
      </c>
      <c r="M442" s="25">
        <f>M443+M445+M447+M451+M454</f>
        <v>197743.37299999999</v>
      </c>
      <c r="N442" s="25">
        <f t="shared" si="279"/>
        <v>153495.64899999998</v>
      </c>
      <c r="O442" s="25">
        <f t="shared" si="279"/>
        <v>153495.65</v>
      </c>
      <c r="P442" s="25">
        <f t="shared" ref="P442" si="280">P443+P445+P447+P451+P454</f>
        <v>1004651.5</v>
      </c>
      <c r="Q442" s="25">
        <f>Q443+Q445+Q447+Q451+Q454</f>
        <v>74013.524999999994</v>
      </c>
      <c r="R442" s="25">
        <f t="shared" ref="R442:S442" si="281">R443+R445+R447+R451+R454</f>
        <v>60532.178</v>
      </c>
      <c r="S442" s="25">
        <f t="shared" si="281"/>
        <v>60532.178</v>
      </c>
      <c r="T442" s="25">
        <f>T443+T445+T447+T451+T454</f>
        <v>3420866.9</v>
      </c>
      <c r="U442" s="25">
        <f t="shared" ref="U442" si="282">U443+U445+U447+U451+U454</f>
        <v>669938.77699999989</v>
      </c>
      <c r="V442" s="25">
        <f t="shared" ref="V442:W442" si="283">V443+V445+V447+V451+V454</f>
        <v>662082.48499999999</v>
      </c>
      <c r="W442" s="25">
        <f t="shared" si="283"/>
        <v>662082.48600000003</v>
      </c>
      <c r="X442" s="25">
        <f>X443+X445+X447+X451+X454</f>
        <v>952892.75699999998</v>
      </c>
      <c r="Y442" s="25">
        <f>Y443+Y445+Y447+Y451+Y454</f>
        <v>1449748.3539999998</v>
      </c>
      <c r="Z442" s="448">
        <f>SUM(H447:Y447)</f>
        <v>5926321.8569999989</v>
      </c>
    </row>
    <row r="443" spans="1:26">
      <c r="A443" s="460"/>
      <c r="B443" s="22" t="s">
        <v>127</v>
      </c>
      <c r="C443" s="461"/>
      <c r="D443" s="401"/>
      <c r="E443" s="359"/>
      <c r="F443" s="458"/>
      <c r="G443" s="323">
        <v>1904893.2</v>
      </c>
      <c r="H443" s="447">
        <f t="shared" ref="H443:Y443" si="284">H194+H216+H227+H238+H251+H265+H276+H287+H300+H311+H323+H160+H345+H334+H205+H382+H356+H370+H393+H404+H415+H426+H440</f>
        <v>5889.4</v>
      </c>
      <c r="I443" s="447">
        <f t="shared" si="284"/>
        <v>6737.8640000000014</v>
      </c>
      <c r="J443" s="447">
        <f t="shared" si="284"/>
        <v>8545.0500000000011</v>
      </c>
      <c r="K443" s="447">
        <f t="shared" si="284"/>
        <v>8545.0500000000011</v>
      </c>
      <c r="L443" s="447">
        <f t="shared" si="284"/>
        <v>894352.29999999993</v>
      </c>
      <c r="M443" s="447">
        <f t="shared" si="284"/>
        <v>12852.871999999998</v>
      </c>
      <c r="N443" s="447">
        <f t="shared" si="284"/>
        <v>6822.5059999999994</v>
      </c>
      <c r="O443" s="447">
        <f t="shared" si="284"/>
        <v>6822.5069999999996</v>
      </c>
      <c r="P443" s="447">
        <f t="shared" ref="P443:S443" si="285">P194+P216+P227+P238+P251+P265+P276+P287+P300+P311+P323+P160+P345+P334+P205+P382+P356+P370+P393+P404+P415+P426+P440</f>
        <v>1004651.5</v>
      </c>
      <c r="Q443" s="447">
        <f t="shared" si="285"/>
        <v>29987.260999999999</v>
      </c>
      <c r="R443" s="447">
        <f t="shared" si="285"/>
        <v>20908.534</v>
      </c>
      <c r="S443" s="447">
        <f t="shared" si="285"/>
        <v>20908.534</v>
      </c>
      <c r="T443" s="447">
        <f t="shared" si="284"/>
        <v>1904893.2</v>
      </c>
      <c r="U443" s="447">
        <f>U194+U216+U227+U238+U251+U265+U276+U287+U300+U311+U323+U160+U345+U334+U205+U382+U356+U370+U393+U404+U415+U426+U440</f>
        <v>49577.996999999996</v>
      </c>
      <c r="V443" s="447">
        <f t="shared" si="284"/>
        <v>36276.090000000004</v>
      </c>
      <c r="W443" s="447">
        <f t="shared" si="284"/>
        <v>36276.091</v>
      </c>
      <c r="X443" s="447">
        <f t="shared" si="284"/>
        <v>875175.04799999995</v>
      </c>
      <c r="Y443" s="447">
        <f t="shared" si="284"/>
        <v>1010238.7459999999</v>
      </c>
      <c r="Z443" s="449"/>
    </row>
    <row r="444" spans="1:26">
      <c r="A444" s="460"/>
      <c r="B444" s="40" t="s">
        <v>27</v>
      </c>
      <c r="C444" s="461"/>
      <c r="D444" s="401"/>
      <c r="E444" s="359"/>
      <c r="F444" s="458"/>
      <c r="G444" s="394"/>
      <c r="H444" s="447"/>
      <c r="I444" s="447"/>
      <c r="J444" s="447"/>
      <c r="K444" s="447"/>
      <c r="L444" s="447"/>
      <c r="M444" s="447"/>
      <c r="N444" s="447"/>
      <c r="O444" s="447"/>
      <c r="P444" s="447"/>
      <c r="Q444" s="447"/>
      <c r="R444" s="447"/>
      <c r="S444" s="447"/>
      <c r="T444" s="447"/>
      <c r="U444" s="447"/>
      <c r="V444" s="447"/>
      <c r="W444" s="447"/>
      <c r="X444" s="447"/>
      <c r="Y444" s="447"/>
      <c r="Z444" s="449"/>
    </row>
    <row r="445" spans="1:26">
      <c r="A445" s="460"/>
      <c r="B445" s="23" t="s">
        <v>29</v>
      </c>
      <c r="C445" s="461"/>
      <c r="D445" s="401"/>
      <c r="E445" s="359"/>
      <c r="F445" s="458"/>
      <c r="G445" s="140">
        <f>SUM(G446)</f>
        <v>0</v>
      </c>
      <c r="H445" s="140">
        <f>SUM(H446)</f>
        <v>0</v>
      </c>
      <c r="I445" s="140">
        <f t="shared" ref="I445:W445" si="286">SUM(I446)</f>
        <v>0</v>
      </c>
      <c r="J445" s="140">
        <f t="shared" si="286"/>
        <v>0</v>
      </c>
      <c r="K445" s="140">
        <f t="shared" si="286"/>
        <v>0</v>
      </c>
      <c r="L445" s="140">
        <f t="shared" si="286"/>
        <v>0</v>
      </c>
      <c r="M445" s="140">
        <f t="shared" si="286"/>
        <v>0</v>
      </c>
      <c r="N445" s="140">
        <f t="shared" si="286"/>
        <v>0</v>
      </c>
      <c r="O445" s="140">
        <f t="shared" si="286"/>
        <v>0</v>
      </c>
      <c r="P445" s="254">
        <f t="shared" si="286"/>
        <v>0</v>
      </c>
      <c r="Q445" s="254">
        <f t="shared" si="286"/>
        <v>0</v>
      </c>
      <c r="R445" s="254">
        <f t="shared" si="286"/>
        <v>0</v>
      </c>
      <c r="S445" s="254">
        <f t="shared" si="286"/>
        <v>0</v>
      </c>
      <c r="T445" s="140">
        <f t="shared" si="286"/>
        <v>0</v>
      </c>
      <c r="U445" s="150">
        <f t="shared" si="286"/>
        <v>0</v>
      </c>
      <c r="V445" s="150">
        <f t="shared" si="286"/>
        <v>0</v>
      </c>
      <c r="W445" s="150">
        <f t="shared" si="286"/>
        <v>0</v>
      </c>
      <c r="X445" s="140">
        <f>SUM(X446)</f>
        <v>0</v>
      </c>
      <c r="Y445" s="140">
        <f>SUM(Y446)</f>
        <v>0</v>
      </c>
      <c r="Z445" s="449"/>
    </row>
    <row r="446" spans="1:26">
      <c r="A446" s="460"/>
      <c r="B446" s="44" t="s">
        <v>39</v>
      </c>
      <c r="C446" s="461"/>
      <c r="D446" s="401"/>
      <c r="E446" s="359"/>
      <c r="F446" s="458"/>
      <c r="G446" s="139">
        <f>SUM(H446:Y446)</f>
        <v>0</v>
      </c>
      <c r="H446" s="139"/>
      <c r="I446" s="139"/>
      <c r="J446" s="139"/>
      <c r="K446" s="139"/>
      <c r="L446" s="139"/>
      <c r="M446" s="139"/>
      <c r="N446" s="139"/>
      <c r="O446" s="139"/>
      <c r="P446" s="253"/>
      <c r="Q446" s="253"/>
      <c r="R446" s="253"/>
      <c r="S446" s="253"/>
      <c r="T446" s="139"/>
      <c r="U446" s="151"/>
      <c r="V446" s="151"/>
      <c r="W446" s="151"/>
      <c r="X446" s="139"/>
      <c r="Y446" s="139"/>
      <c r="Z446" s="449"/>
    </row>
    <row r="447" spans="1:26">
      <c r="A447" s="460"/>
      <c r="B447" s="23" t="s">
        <v>30</v>
      </c>
      <c r="C447" s="461"/>
      <c r="D447" s="401"/>
      <c r="E447" s="359"/>
      <c r="F447" s="458"/>
      <c r="G447" s="140">
        <f>SUM(G448:G450)</f>
        <v>832573.7</v>
      </c>
      <c r="H447" s="140">
        <f>SUM(H448:H450)</f>
        <v>832573.7</v>
      </c>
      <c r="I447" s="140">
        <f t="shared" ref="I447:K447" si="287">SUM(I448:I450)</f>
        <v>391444.0149999999</v>
      </c>
      <c r="J447" s="140">
        <f t="shared" si="287"/>
        <v>439509.60800000001</v>
      </c>
      <c r="K447" s="140">
        <f t="shared" si="287"/>
        <v>439509.60800000001</v>
      </c>
      <c r="L447" s="140">
        <f t="shared" ref="L447:T447" si="288">SUM(L448:L450)</f>
        <v>0</v>
      </c>
      <c r="M447" s="140">
        <f t="shared" si="288"/>
        <v>184890.50099999999</v>
      </c>
      <c r="N447" s="140">
        <f t="shared" si="288"/>
        <v>146673.14299999998</v>
      </c>
      <c r="O447" s="140">
        <f t="shared" si="288"/>
        <v>146673.14299999998</v>
      </c>
      <c r="P447" s="254">
        <f t="shared" ref="P447:S447" si="289">SUM(P448:P450)</f>
        <v>0</v>
      </c>
      <c r="Q447" s="254">
        <f t="shared" si="289"/>
        <v>44026.264000000003</v>
      </c>
      <c r="R447" s="254">
        <f t="shared" si="289"/>
        <v>39623.644</v>
      </c>
      <c r="S447" s="254">
        <f t="shared" si="289"/>
        <v>39623.644</v>
      </c>
      <c r="T447" s="140">
        <f t="shared" si="288"/>
        <v>832573.7</v>
      </c>
      <c r="U447" s="150">
        <f t="shared" ref="U447" si="290">SUM(U448:U450)</f>
        <v>620360.77999999991</v>
      </c>
      <c r="V447" s="150">
        <f t="shared" ref="V447:W447" si="291">SUM(V448:V450)</f>
        <v>625806.39500000002</v>
      </c>
      <c r="W447" s="150">
        <f t="shared" si="291"/>
        <v>625806.39500000002</v>
      </c>
      <c r="X447" s="140">
        <f>SUM(X448:X450)</f>
        <v>77717.709000000017</v>
      </c>
      <c r="Y447" s="140">
        <f>SUM(Y448:Y450)</f>
        <v>439509.60800000001</v>
      </c>
      <c r="Z447" s="449"/>
    </row>
    <row r="448" spans="1:26">
      <c r="A448" s="460"/>
      <c r="B448" s="44" t="s">
        <v>41</v>
      </c>
      <c r="C448" s="461"/>
      <c r="D448" s="401"/>
      <c r="E448" s="401"/>
      <c r="F448" s="458"/>
      <c r="G448" s="139">
        <f>SUM(H448)</f>
        <v>670084.19999999995</v>
      </c>
      <c r="H448" s="139">
        <f t="shared" ref="H448:Y448" si="292">H350+H339+H328+H317+H305+H294+H281+H270+H259+H245+H232+H199+H176</f>
        <v>670084.19999999995</v>
      </c>
      <c r="I448" s="139">
        <f t="shared" si="292"/>
        <v>288879.9709999999</v>
      </c>
      <c r="J448" s="139">
        <f t="shared" si="292"/>
        <v>327492.69</v>
      </c>
      <c r="K448" s="139">
        <f t="shared" si="292"/>
        <v>327492.69</v>
      </c>
      <c r="L448" s="139">
        <f t="shared" si="292"/>
        <v>0</v>
      </c>
      <c r="M448" s="139">
        <f t="shared" si="292"/>
        <v>159979.34299999999</v>
      </c>
      <c r="N448" s="236">
        <f t="shared" si="292"/>
        <v>128604.74</v>
      </c>
      <c r="O448" s="139">
        <f t="shared" si="292"/>
        <v>128604.74</v>
      </c>
      <c r="P448" s="253">
        <f t="shared" ref="P448:S448" si="293">P350+P339+P328+P317+P305+P294+P281+P270+P259+P245+P232+P199+P176</f>
        <v>0</v>
      </c>
      <c r="Q448" s="253">
        <f t="shared" si="293"/>
        <v>37598.952000000005</v>
      </c>
      <c r="R448" s="253">
        <f t="shared" si="293"/>
        <v>33839.057000000001</v>
      </c>
      <c r="S448" s="253">
        <f t="shared" si="293"/>
        <v>33839.057000000001</v>
      </c>
      <c r="T448" s="139">
        <f t="shared" si="292"/>
        <v>670084.19999999995</v>
      </c>
      <c r="U448" s="151">
        <f>U350+U339+U328+U317+U305+U294+U281+U270+U259+U245+U232+U199+U176</f>
        <v>486458.26599999989</v>
      </c>
      <c r="V448" s="151">
        <f t="shared" si="292"/>
        <v>489936.48699999996</v>
      </c>
      <c r="W448" s="151">
        <f t="shared" si="292"/>
        <v>489936.48699999996</v>
      </c>
      <c r="X448" s="139">
        <f t="shared" si="292"/>
        <v>74142.412000000011</v>
      </c>
      <c r="Y448" s="139">
        <f t="shared" si="292"/>
        <v>327492.69</v>
      </c>
      <c r="Z448" s="449"/>
    </row>
    <row r="449" spans="1:26">
      <c r="A449" s="460"/>
      <c r="B449" s="41" t="s">
        <v>32</v>
      </c>
      <c r="C449" s="461"/>
      <c r="D449" s="401"/>
      <c r="E449" s="401"/>
      <c r="F449" s="458"/>
      <c r="G449" s="139">
        <f t="shared" ref="G449:G450" si="294">SUM(H449)</f>
        <v>31396.6</v>
      </c>
      <c r="H449" s="139">
        <f t="shared" ref="H449:Y449" si="295">H351+H340+H329+H318+H306+H295+H282+H271+H260+H246+H233+H200+H180</f>
        <v>31396.6</v>
      </c>
      <c r="I449" s="139">
        <f t="shared" si="295"/>
        <v>15383.669</v>
      </c>
      <c r="J449" s="139">
        <f t="shared" si="295"/>
        <v>17113.269</v>
      </c>
      <c r="K449" s="139">
        <f t="shared" si="295"/>
        <v>17113.269</v>
      </c>
      <c r="L449" s="139">
        <f t="shared" si="295"/>
        <v>0</v>
      </c>
      <c r="M449" s="139">
        <f t="shared" si="295"/>
        <v>7860.107</v>
      </c>
      <c r="N449" s="236">
        <f t="shared" si="295"/>
        <v>5361.9560000000001</v>
      </c>
      <c r="O449" s="139">
        <f t="shared" si="295"/>
        <v>5361.9560000000001</v>
      </c>
      <c r="P449" s="253">
        <f t="shared" ref="P449:S449" si="296">P351+P340+P329+P318+P306+P295+P282+P271+P260+P246+P233+P200+P180</f>
        <v>0</v>
      </c>
      <c r="Q449" s="253">
        <f t="shared" si="296"/>
        <v>1816.17</v>
      </c>
      <c r="R449" s="253">
        <f t="shared" si="296"/>
        <v>2481.0630000000001</v>
      </c>
      <c r="S449" s="253">
        <f t="shared" si="296"/>
        <v>2481.0630000000001</v>
      </c>
      <c r="T449" s="139">
        <f t="shared" si="295"/>
        <v>31396.6</v>
      </c>
      <c r="U449" s="151">
        <f t="shared" si="295"/>
        <v>25059.945999999996</v>
      </c>
      <c r="V449" s="151">
        <f t="shared" si="295"/>
        <v>24956.288</v>
      </c>
      <c r="W449" s="151">
        <f t="shared" si="295"/>
        <v>24956.288</v>
      </c>
      <c r="X449" s="139">
        <f t="shared" si="295"/>
        <v>3575.297</v>
      </c>
      <c r="Y449" s="139">
        <f t="shared" si="295"/>
        <v>17113.269</v>
      </c>
      <c r="Z449" s="449"/>
    </row>
    <row r="450" spans="1:26">
      <c r="A450" s="460"/>
      <c r="B450" s="41" t="s">
        <v>33</v>
      </c>
      <c r="C450" s="461"/>
      <c r="D450" s="401"/>
      <c r="E450" s="401"/>
      <c r="F450" s="458"/>
      <c r="G450" s="139">
        <f t="shared" si="294"/>
        <v>131092.9</v>
      </c>
      <c r="H450" s="139">
        <f t="shared" ref="H450:Y450" si="297">H352+H341+H330+H319+H307+H296+H283+H272+H261+H247+H234+H201+H184</f>
        <v>131092.9</v>
      </c>
      <c r="I450" s="139">
        <f t="shared" si="297"/>
        <v>87180.375</v>
      </c>
      <c r="J450" s="139">
        <f t="shared" si="297"/>
        <v>94903.649000000005</v>
      </c>
      <c r="K450" s="139">
        <f t="shared" si="297"/>
        <v>94903.649000000005</v>
      </c>
      <c r="L450" s="139">
        <f t="shared" si="297"/>
        <v>0</v>
      </c>
      <c r="M450" s="139">
        <f t="shared" si="297"/>
        <v>17051.051000000003</v>
      </c>
      <c r="N450" s="236">
        <f t="shared" si="297"/>
        <v>12706.447</v>
      </c>
      <c r="O450" s="139">
        <f t="shared" si="297"/>
        <v>12706.447</v>
      </c>
      <c r="P450" s="253">
        <f t="shared" ref="P450:S450" si="298">P352+P341+P330+P319+P307+P296+P283+P272+P261+P247+P234+P201+P184</f>
        <v>0</v>
      </c>
      <c r="Q450" s="253">
        <f t="shared" si="298"/>
        <v>4611.1419999999998</v>
      </c>
      <c r="R450" s="253">
        <f t="shared" si="298"/>
        <v>3303.5239999999994</v>
      </c>
      <c r="S450" s="253">
        <f t="shared" si="298"/>
        <v>3303.5239999999994</v>
      </c>
      <c r="T450" s="139">
        <f t="shared" si="297"/>
        <v>131092.9</v>
      </c>
      <c r="U450" s="151">
        <f t="shared" si="297"/>
        <v>108842.568</v>
      </c>
      <c r="V450" s="151">
        <f t="shared" si="297"/>
        <v>110913.62000000001</v>
      </c>
      <c r="W450" s="151">
        <f t="shared" si="297"/>
        <v>110913.62000000001</v>
      </c>
      <c r="X450" s="139">
        <f t="shared" si="297"/>
        <v>0</v>
      </c>
      <c r="Y450" s="139">
        <f t="shared" si="297"/>
        <v>94903.649000000005</v>
      </c>
      <c r="Z450" s="449"/>
    </row>
    <row r="451" spans="1:26">
      <c r="A451" s="460"/>
      <c r="B451" s="23" t="s">
        <v>37</v>
      </c>
      <c r="C451" s="461"/>
      <c r="D451" s="401"/>
      <c r="E451" s="401"/>
      <c r="F451" s="458"/>
      <c r="G451" s="140">
        <f>SUM(H451)</f>
        <v>683400</v>
      </c>
      <c r="H451" s="140">
        <f>SUM(H452:H453)</f>
        <v>683400</v>
      </c>
      <c r="I451" s="140">
        <f t="shared" ref="I451:K451" si="299">SUM(I452:I453)</f>
        <v>0</v>
      </c>
      <c r="J451" s="140">
        <f t="shared" si="299"/>
        <v>0</v>
      </c>
      <c r="K451" s="140">
        <f t="shared" si="299"/>
        <v>0</v>
      </c>
      <c r="L451" s="140">
        <f t="shared" ref="L451:T451" si="300">SUM(L452:L453)</f>
        <v>0</v>
      </c>
      <c r="M451" s="140">
        <f t="shared" si="300"/>
        <v>0</v>
      </c>
      <c r="N451" s="140">
        <f t="shared" si="300"/>
        <v>0</v>
      </c>
      <c r="O451" s="140">
        <f t="shared" si="300"/>
        <v>0</v>
      </c>
      <c r="P451" s="254">
        <f t="shared" ref="P451:S451" si="301">SUM(P452:P453)</f>
        <v>0</v>
      </c>
      <c r="Q451" s="254">
        <f t="shared" si="301"/>
        <v>0</v>
      </c>
      <c r="R451" s="254">
        <f t="shared" si="301"/>
        <v>0</v>
      </c>
      <c r="S451" s="254">
        <f t="shared" si="301"/>
        <v>0</v>
      </c>
      <c r="T451" s="140">
        <f t="shared" si="300"/>
        <v>683400</v>
      </c>
      <c r="U451" s="150">
        <f t="shared" ref="U451" si="302">SUM(U452:U453)</f>
        <v>0</v>
      </c>
      <c r="V451" s="150">
        <f t="shared" ref="V451:W451" si="303">SUM(V452:V453)</f>
        <v>0</v>
      </c>
      <c r="W451" s="150">
        <f t="shared" si="303"/>
        <v>0</v>
      </c>
      <c r="X451" s="140">
        <f>SUM(X452:X453)</f>
        <v>0</v>
      </c>
      <c r="Y451" s="140">
        <f>SUM(Y452:Y453)</f>
        <v>0</v>
      </c>
      <c r="Z451" s="449"/>
    </row>
    <row r="452" spans="1:26">
      <c r="A452" s="460"/>
      <c r="B452" s="41" t="s">
        <v>56</v>
      </c>
      <c r="C452" s="461"/>
      <c r="D452" s="401"/>
      <c r="E452" s="401"/>
      <c r="F452" s="458"/>
      <c r="G452" s="139">
        <f>SUM(H452)</f>
        <v>357000</v>
      </c>
      <c r="H452" s="139">
        <f t="shared" ref="H452:Y453" si="304">H189</f>
        <v>357000</v>
      </c>
      <c r="I452" s="139">
        <f t="shared" ref="I452:K452" si="305">I189</f>
        <v>0</v>
      </c>
      <c r="J452" s="139">
        <f t="shared" si="305"/>
        <v>0</v>
      </c>
      <c r="K452" s="139">
        <f t="shared" si="305"/>
        <v>0</v>
      </c>
      <c r="L452" s="139">
        <f t="shared" ref="L452:T452" si="306">L189</f>
        <v>0</v>
      </c>
      <c r="M452" s="139">
        <f t="shared" si="306"/>
        <v>0</v>
      </c>
      <c r="N452" s="139">
        <f t="shared" si="306"/>
        <v>0</v>
      </c>
      <c r="O452" s="139">
        <f t="shared" si="306"/>
        <v>0</v>
      </c>
      <c r="P452" s="253">
        <f t="shared" ref="P452:S452" si="307">P189</f>
        <v>0</v>
      </c>
      <c r="Q452" s="253">
        <f t="shared" si="307"/>
        <v>0</v>
      </c>
      <c r="R452" s="253">
        <f t="shared" si="307"/>
        <v>0</v>
      </c>
      <c r="S452" s="253">
        <f t="shared" si="307"/>
        <v>0</v>
      </c>
      <c r="T452" s="139">
        <f t="shared" si="306"/>
        <v>357000</v>
      </c>
      <c r="U452" s="151">
        <f t="shared" ref="U452" si="308">U189</f>
        <v>0</v>
      </c>
      <c r="V452" s="151">
        <f t="shared" ref="V452:W452" si="309">V189</f>
        <v>0</v>
      </c>
      <c r="W452" s="151">
        <f t="shared" si="309"/>
        <v>0</v>
      </c>
      <c r="X452" s="139">
        <f t="shared" si="304"/>
        <v>0</v>
      </c>
      <c r="Y452" s="139">
        <f t="shared" si="304"/>
        <v>0</v>
      </c>
      <c r="Z452" s="449"/>
    </row>
    <row r="453" spans="1:26">
      <c r="A453" s="460"/>
      <c r="B453" s="41" t="s">
        <v>57</v>
      </c>
      <c r="C453" s="461"/>
      <c r="D453" s="401"/>
      <c r="E453" s="401"/>
      <c r="F453" s="458"/>
      <c r="G453" s="151">
        <f>SUM(H453)</f>
        <v>326400</v>
      </c>
      <c r="H453" s="139">
        <f t="shared" si="304"/>
        <v>326400</v>
      </c>
      <c r="I453" s="139">
        <f t="shared" ref="I453:K453" si="310">I190</f>
        <v>0</v>
      </c>
      <c r="J453" s="139">
        <f t="shared" si="310"/>
        <v>0</v>
      </c>
      <c r="K453" s="139">
        <f t="shared" si="310"/>
        <v>0</v>
      </c>
      <c r="L453" s="139">
        <f t="shared" ref="L453:T453" si="311">L190</f>
        <v>0</v>
      </c>
      <c r="M453" s="139">
        <f t="shared" si="311"/>
        <v>0</v>
      </c>
      <c r="N453" s="139">
        <f t="shared" si="311"/>
        <v>0</v>
      </c>
      <c r="O453" s="139">
        <f t="shared" si="311"/>
        <v>0</v>
      </c>
      <c r="P453" s="253">
        <f t="shared" ref="P453:S453" si="312">P190</f>
        <v>0</v>
      </c>
      <c r="Q453" s="253">
        <f t="shared" si="312"/>
        <v>0</v>
      </c>
      <c r="R453" s="253">
        <f t="shared" si="312"/>
        <v>0</v>
      </c>
      <c r="S453" s="253">
        <f t="shared" si="312"/>
        <v>0</v>
      </c>
      <c r="T453" s="139">
        <f t="shared" si="311"/>
        <v>326400</v>
      </c>
      <c r="U453" s="151">
        <f t="shared" ref="U453" si="313">U190</f>
        <v>0</v>
      </c>
      <c r="V453" s="151">
        <f t="shared" ref="V453:W453" si="314">V190</f>
        <v>0</v>
      </c>
      <c r="W453" s="151">
        <f t="shared" si="314"/>
        <v>0</v>
      </c>
      <c r="X453" s="139">
        <f t="shared" si="304"/>
        <v>0</v>
      </c>
      <c r="Y453" s="139">
        <f t="shared" si="304"/>
        <v>0</v>
      </c>
      <c r="Z453" s="449"/>
    </row>
    <row r="454" spans="1:26">
      <c r="A454" s="437"/>
      <c r="B454" s="23" t="s">
        <v>38</v>
      </c>
      <c r="C454" s="462"/>
      <c r="D454" s="402"/>
      <c r="E454" s="402"/>
      <c r="F454" s="459"/>
      <c r="G454" s="140">
        <f t="shared" ref="G454" si="315">SUM(H454:Y454)</f>
        <v>0</v>
      </c>
      <c r="H454" s="140"/>
      <c r="I454" s="140"/>
      <c r="J454" s="140"/>
      <c r="K454" s="140"/>
      <c r="L454" s="140"/>
      <c r="M454" s="140"/>
      <c r="N454" s="140"/>
      <c r="O454" s="140"/>
      <c r="P454" s="254"/>
      <c r="Q454" s="254"/>
      <c r="R454" s="254"/>
      <c r="S454" s="254"/>
      <c r="T454" s="140"/>
      <c r="U454" s="150"/>
      <c r="V454" s="150"/>
      <c r="W454" s="150"/>
      <c r="X454" s="140"/>
      <c r="Y454" s="140"/>
      <c r="Z454" s="450"/>
    </row>
    <row r="455" spans="1:26">
      <c r="A455" s="4"/>
      <c r="B455" s="8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6" ht="12.75" hidden="1" customHeight="1">
      <c r="A456" s="181" t="s">
        <v>22</v>
      </c>
      <c r="B456" s="32" t="s">
        <v>78</v>
      </c>
      <c r="C456" s="177"/>
      <c r="D456" s="177"/>
      <c r="E456" s="177"/>
      <c r="F456" s="177"/>
      <c r="X456" s="57">
        <f>G443</f>
        <v>1904893.2</v>
      </c>
      <c r="Y456" s="56" t="s">
        <v>12</v>
      </c>
    </row>
    <row r="457" spans="1:26" ht="12.75" hidden="1" customHeight="1">
      <c r="A457" s="181"/>
      <c r="B457" s="7" t="s">
        <v>128</v>
      </c>
      <c r="C457" s="177"/>
      <c r="D457" s="177"/>
      <c r="E457" s="177"/>
      <c r="F457" s="177"/>
      <c r="G457" s="179"/>
      <c r="H457" s="179"/>
      <c r="I457" s="179"/>
      <c r="J457" s="179"/>
      <c r="K457" s="179"/>
      <c r="L457" s="179"/>
      <c r="M457" s="179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  <c r="X457" s="178"/>
    </row>
    <row r="458" spans="1:26" ht="12.75" hidden="1" customHeight="1">
      <c r="A458" s="186"/>
      <c r="B458" s="187"/>
      <c r="C458" s="187"/>
      <c r="D458" s="187"/>
      <c r="E458" s="187"/>
      <c r="F458" s="187"/>
      <c r="G458" s="180"/>
      <c r="H458" s="188"/>
      <c r="I458" s="188"/>
      <c r="J458" s="188"/>
      <c r="K458" s="188"/>
      <c r="L458" s="188"/>
      <c r="M458" s="188"/>
      <c r="N458" s="188"/>
      <c r="O458" s="188"/>
      <c r="P458" s="188"/>
      <c r="Q458" s="188"/>
      <c r="R458" s="188"/>
      <c r="S458" s="188"/>
      <c r="T458" s="188"/>
      <c r="U458" s="188"/>
      <c r="V458" s="188"/>
      <c r="W458" s="188"/>
      <c r="X458" s="180"/>
      <c r="Y458" s="180"/>
    </row>
    <row r="459" spans="1:26" ht="13.5">
      <c r="A459" s="298"/>
      <c r="B459" s="15" t="s">
        <v>20</v>
      </c>
      <c r="C459" s="301"/>
      <c r="D459" s="310">
        <f>G442+G139</f>
        <v>5398882.5999999996</v>
      </c>
      <c r="E459" s="301"/>
      <c r="F459" s="374">
        <f>G443+G140</f>
        <v>3133418.7</v>
      </c>
      <c r="G459" s="25">
        <f>G460+G462+G464+G468+G472+G471</f>
        <v>5398882.5999999996</v>
      </c>
      <c r="H459" s="25">
        <f>H460+H462+H464+H468+H472+H471</f>
        <v>2185005.5</v>
      </c>
      <c r="I459" s="25">
        <f t="shared" ref="I459:K459" si="316">I460+I462+I464+I468+I472+I471</f>
        <v>819731.48099999991</v>
      </c>
      <c r="J459" s="25">
        <f t="shared" si="316"/>
        <v>745071.42799999996</v>
      </c>
      <c r="K459" s="25">
        <f t="shared" si="316"/>
        <v>777519.92399999988</v>
      </c>
      <c r="L459" s="25">
        <f t="shared" ref="L459:O459" si="317">L460+L462+L464+L468+L472+L471</f>
        <v>1883885.2999999998</v>
      </c>
      <c r="M459" s="25">
        <f t="shared" si="317"/>
        <v>296035.50300000003</v>
      </c>
      <c r="N459" s="25">
        <f t="shared" si="317"/>
        <v>653961.27899999998</v>
      </c>
      <c r="O459" s="25">
        <f t="shared" si="317"/>
        <v>300732.424</v>
      </c>
      <c r="P459" s="25">
        <f t="shared" ref="P459:Q459" si="318">P460+P462+P464+P468+P472+P471</f>
        <v>1404991.8</v>
      </c>
      <c r="Q459" s="25">
        <f t="shared" si="318"/>
        <v>122919.887</v>
      </c>
      <c r="R459" s="25">
        <f>R460+R462+R464+R468+R472+R471-0.1</f>
        <v>190351.76100000003</v>
      </c>
      <c r="S459" s="25">
        <f>S460+S462+S464+S468+S472+S471</f>
        <v>226286.87999999998</v>
      </c>
      <c r="T459" s="25">
        <f>T460+T462+T464+T468+T472+T471</f>
        <v>5323882.5999999996</v>
      </c>
      <c r="U459" s="25">
        <f t="shared" ref="U459" si="319">U460+U462+U464+U468+U472+U471</f>
        <v>1238686.871</v>
      </c>
      <c r="V459" s="25">
        <f t="shared" ref="V459:W459" si="320">V460+V462+V464+V468+V472+V471</f>
        <v>1589384.4679999999</v>
      </c>
      <c r="W459" s="25">
        <f t="shared" si="320"/>
        <v>1304539.2280000001</v>
      </c>
      <c r="X459" s="25">
        <f>X460+X462+X464+X468+X472+X471</f>
        <v>1437207.382</v>
      </c>
      <c r="Y459" s="25">
        <f>Y460+Y462+Y464+Y468+Y472+Y471</f>
        <v>2019145.5839999998</v>
      </c>
      <c r="Z459" s="451">
        <f>SUM(H459:Y459)</f>
        <v>22519339.299999997</v>
      </c>
    </row>
    <row r="460" spans="1:26" ht="12.75" customHeight="1">
      <c r="A460" s="460"/>
      <c r="B460" s="22" t="s">
        <v>127</v>
      </c>
      <c r="C460" s="458"/>
      <c r="D460" s="401"/>
      <c r="E460" s="458"/>
      <c r="F460" s="455"/>
      <c r="G460" s="339">
        <v>3133418.7</v>
      </c>
      <c r="H460" s="370">
        <f t="shared" ref="H460:Y460" si="321">H443+H140</f>
        <v>91066.599999999991</v>
      </c>
      <c r="I460" s="370">
        <f t="shared" si="321"/>
        <v>231463.26899999997</v>
      </c>
      <c r="J460" s="370">
        <f t="shared" si="321"/>
        <v>84330.217999999993</v>
      </c>
      <c r="K460" s="370">
        <f t="shared" si="321"/>
        <v>116778.71399999998</v>
      </c>
      <c r="L460" s="370">
        <f t="shared" si="321"/>
        <v>1712360.2999999998</v>
      </c>
      <c r="M460" s="370">
        <f t="shared" si="321"/>
        <v>42854.006000000001</v>
      </c>
      <c r="N460" s="457">
        <f t="shared" si="321"/>
        <v>94332.207999999984</v>
      </c>
      <c r="O460" s="370">
        <f t="shared" si="321"/>
        <v>120037.12200000002</v>
      </c>
      <c r="P460" s="370">
        <f t="shared" ref="P460:S460" si="322">P443+P140</f>
        <v>1329991.8</v>
      </c>
      <c r="Q460" s="370">
        <f t="shared" si="322"/>
        <v>45384.544999999998</v>
      </c>
      <c r="R460" s="370">
        <f>R443+R140+0.1</f>
        <v>117219.14100000002</v>
      </c>
      <c r="S460" s="370">
        <f t="shared" si="322"/>
        <v>153154.15999999997</v>
      </c>
      <c r="T460" s="370">
        <f t="shared" si="321"/>
        <v>3133418.7</v>
      </c>
      <c r="U460" s="370">
        <f t="shared" si="321"/>
        <v>319701.81999999995</v>
      </c>
      <c r="V460" s="370">
        <f t="shared" si="321"/>
        <v>295881.467</v>
      </c>
      <c r="W460" s="370">
        <f t="shared" si="321"/>
        <v>389969.99600000004</v>
      </c>
      <c r="X460" s="370">
        <f t="shared" si="321"/>
        <v>1187964.673</v>
      </c>
      <c r="Y460" s="370">
        <f t="shared" si="321"/>
        <v>1358404.3739999998</v>
      </c>
      <c r="Z460" s="452"/>
    </row>
    <row r="461" spans="1:26" ht="12.75" customHeight="1">
      <c r="A461" s="460"/>
      <c r="B461" s="40" t="s">
        <v>27</v>
      </c>
      <c r="C461" s="458"/>
      <c r="D461" s="401"/>
      <c r="E461" s="458"/>
      <c r="F461" s="455"/>
      <c r="G461" s="454"/>
      <c r="H461" s="370"/>
      <c r="I461" s="370"/>
      <c r="J461" s="370"/>
      <c r="K461" s="370"/>
      <c r="L461" s="370"/>
      <c r="M461" s="370"/>
      <c r="N461" s="457"/>
      <c r="O461" s="370"/>
      <c r="P461" s="370"/>
      <c r="Q461" s="370"/>
      <c r="R461" s="370"/>
      <c r="S461" s="370"/>
      <c r="T461" s="370"/>
      <c r="U461" s="370"/>
      <c r="V461" s="370"/>
      <c r="W461" s="370"/>
      <c r="X461" s="370"/>
      <c r="Y461" s="370"/>
      <c r="Z461" s="452"/>
    </row>
    <row r="462" spans="1:26">
      <c r="A462" s="460"/>
      <c r="B462" s="23" t="s">
        <v>29</v>
      </c>
      <c r="C462" s="458"/>
      <c r="D462" s="401"/>
      <c r="E462" s="458"/>
      <c r="F462" s="455"/>
      <c r="G462" s="140">
        <f>SUM(G463)</f>
        <v>0</v>
      </c>
      <c r="H462" s="140">
        <f>H463</f>
        <v>0</v>
      </c>
      <c r="I462" s="140">
        <f t="shared" ref="I462:W462" si="323">I463</f>
        <v>0</v>
      </c>
      <c r="J462" s="140">
        <f t="shared" si="323"/>
        <v>0</v>
      </c>
      <c r="K462" s="140">
        <f t="shared" si="323"/>
        <v>0</v>
      </c>
      <c r="L462" s="140">
        <f t="shared" si="323"/>
        <v>0</v>
      </c>
      <c r="M462" s="140">
        <f t="shared" si="323"/>
        <v>0</v>
      </c>
      <c r="N462" s="140">
        <f t="shared" si="323"/>
        <v>0</v>
      </c>
      <c r="O462" s="140">
        <f t="shared" si="323"/>
        <v>0</v>
      </c>
      <c r="P462" s="254">
        <f t="shared" si="323"/>
        <v>0</v>
      </c>
      <c r="Q462" s="254">
        <f t="shared" si="323"/>
        <v>0</v>
      </c>
      <c r="R462" s="254">
        <f t="shared" si="323"/>
        <v>0</v>
      </c>
      <c r="S462" s="254">
        <f t="shared" si="323"/>
        <v>0</v>
      </c>
      <c r="T462" s="140">
        <f t="shared" si="323"/>
        <v>0</v>
      </c>
      <c r="U462" s="150">
        <f t="shared" si="323"/>
        <v>0</v>
      </c>
      <c r="V462" s="150">
        <f t="shared" si="323"/>
        <v>0</v>
      </c>
      <c r="W462" s="150">
        <f t="shared" si="323"/>
        <v>0</v>
      </c>
      <c r="X462" s="140">
        <f>X463</f>
        <v>0</v>
      </c>
      <c r="Y462" s="140">
        <f>Y463</f>
        <v>0</v>
      </c>
      <c r="Z462" s="452"/>
    </row>
    <row r="463" spans="1:26" ht="15" customHeight="1">
      <c r="A463" s="460"/>
      <c r="B463" s="72" t="s">
        <v>42</v>
      </c>
      <c r="C463" s="458"/>
      <c r="D463" s="401"/>
      <c r="E463" s="458"/>
      <c r="F463" s="455"/>
      <c r="G463" s="139">
        <f>SUM(H463:Y463)</f>
        <v>0</v>
      </c>
      <c r="H463" s="139">
        <f t="shared" ref="H463:Y463" si="324">H143+H446</f>
        <v>0</v>
      </c>
      <c r="I463" s="139">
        <f t="shared" si="324"/>
        <v>0</v>
      </c>
      <c r="J463" s="139">
        <f t="shared" si="324"/>
        <v>0</v>
      </c>
      <c r="K463" s="139">
        <f t="shared" si="324"/>
        <v>0</v>
      </c>
      <c r="L463" s="139">
        <f t="shared" si="324"/>
        <v>0</v>
      </c>
      <c r="M463" s="139">
        <f t="shared" si="324"/>
        <v>0</v>
      </c>
      <c r="N463" s="139">
        <f t="shared" si="324"/>
        <v>0</v>
      </c>
      <c r="O463" s="139">
        <f t="shared" si="324"/>
        <v>0</v>
      </c>
      <c r="P463" s="253">
        <f t="shared" ref="P463:S463" si="325">P143+P446</f>
        <v>0</v>
      </c>
      <c r="Q463" s="253">
        <f t="shared" si="325"/>
        <v>0</v>
      </c>
      <c r="R463" s="253">
        <f t="shared" si="325"/>
        <v>0</v>
      </c>
      <c r="S463" s="253">
        <f t="shared" si="325"/>
        <v>0</v>
      </c>
      <c r="T463" s="139">
        <f t="shared" si="324"/>
        <v>0</v>
      </c>
      <c r="U463" s="151">
        <f t="shared" si="324"/>
        <v>0</v>
      </c>
      <c r="V463" s="151">
        <f t="shared" si="324"/>
        <v>0</v>
      </c>
      <c r="W463" s="151">
        <f t="shared" si="324"/>
        <v>0</v>
      </c>
      <c r="X463" s="139">
        <f t="shared" si="324"/>
        <v>0</v>
      </c>
      <c r="Y463" s="139">
        <f t="shared" si="324"/>
        <v>0</v>
      </c>
      <c r="Z463" s="452"/>
    </row>
    <row r="464" spans="1:26">
      <c r="A464" s="460"/>
      <c r="B464" s="23" t="s">
        <v>30</v>
      </c>
      <c r="C464" s="458"/>
      <c r="D464" s="401"/>
      <c r="E464" s="458"/>
      <c r="F464" s="455"/>
      <c r="G464" s="140">
        <f>SUM(G465:G467)</f>
        <v>1120963.8999999999</v>
      </c>
      <c r="H464" s="140">
        <f>SUM(H465:H467)</f>
        <v>1120963.8999999999</v>
      </c>
      <c r="I464" s="140">
        <f t="shared" ref="I464:K464" si="326">SUM(I465:I467)</f>
        <v>588268.21199999994</v>
      </c>
      <c r="J464" s="140">
        <f t="shared" si="326"/>
        <v>660741.21</v>
      </c>
      <c r="K464" s="140">
        <f t="shared" si="326"/>
        <v>660741.21</v>
      </c>
      <c r="L464" s="140">
        <f t="shared" ref="L464:T464" si="327">SUM(L465:L467)</f>
        <v>0</v>
      </c>
      <c r="M464" s="140">
        <f t="shared" si="327"/>
        <v>226598.66</v>
      </c>
      <c r="N464" s="214">
        <f t="shared" si="327"/>
        <v>163973.90200000003</v>
      </c>
      <c r="O464" s="140">
        <f t="shared" si="327"/>
        <v>163973.89800000002</v>
      </c>
      <c r="P464" s="254">
        <f t="shared" ref="P464:S464" si="328">SUM(P465:P467)</f>
        <v>0</v>
      </c>
      <c r="Q464" s="254">
        <f t="shared" si="328"/>
        <v>77535.342000000004</v>
      </c>
      <c r="R464" s="278">
        <f t="shared" si="328"/>
        <v>73132.72</v>
      </c>
      <c r="S464" s="254">
        <f t="shared" si="328"/>
        <v>73132.72</v>
      </c>
      <c r="T464" s="140">
        <f t="shared" si="327"/>
        <v>1120963.8999999999</v>
      </c>
      <c r="U464" s="150">
        <f t="shared" ref="U464" si="329">SUM(U465:U467)</f>
        <v>892402.21399999992</v>
      </c>
      <c r="V464" s="150">
        <f t="shared" ref="V464:W464" si="330">SUM(V465:V467)</f>
        <v>897847.83199999994</v>
      </c>
      <c r="W464" s="150">
        <f t="shared" si="330"/>
        <v>897847.82799999998</v>
      </c>
      <c r="X464" s="140">
        <f>SUM(X465:X467)</f>
        <v>77717.709000000017</v>
      </c>
      <c r="Y464" s="140">
        <f>SUM(Y465:Y467)</f>
        <v>660741.21</v>
      </c>
      <c r="Z464" s="452"/>
    </row>
    <row r="465" spans="1:26">
      <c r="A465" s="460"/>
      <c r="B465" s="44" t="s">
        <v>41</v>
      </c>
      <c r="C465" s="458"/>
      <c r="D465" s="401"/>
      <c r="E465" s="458"/>
      <c r="F465" s="455"/>
      <c r="G465" s="139">
        <f>SUM(H465)</f>
        <v>909033.2</v>
      </c>
      <c r="H465" s="139">
        <f t="shared" ref="H465:Y465" si="331">H448+H145</f>
        <v>909033.2</v>
      </c>
      <c r="I465" s="139">
        <f t="shared" si="331"/>
        <v>442973.03199999989</v>
      </c>
      <c r="J465" s="139">
        <f t="shared" si="331"/>
        <v>503571.46100000001</v>
      </c>
      <c r="K465" s="139">
        <f t="shared" si="331"/>
        <v>503571.46100000001</v>
      </c>
      <c r="L465" s="139">
        <f t="shared" si="331"/>
        <v>0</v>
      </c>
      <c r="M465" s="139">
        <f t="shared" si="331"/>
        <v>195345.818</v>
      </c>
      <c r="N465" s="139">
        <f t="shared" si="331"/>
        <v>141985.50900000002</v>
      </c>
      <c r="O465" s="139">
        <f t="shared" si="331"/>
        <v>141985.50900000002</v>
      </c>
      <c r="P465" s="253">
        <f t="shared" ref="P465:S465" si="332">P448+P145</f>
        <v>0</v>
      </c>
      <c r="Q465" s="253">
        <f t="shared" si="332"/>
        <v>71108.03</v>
      </c>
      <c r="R465" s="253">
        <f t="shared" si="332"/>
        <v>67348.133000000002</v>
      </c>
      <c r="S465" s="253">
        <f t="shared" si="332"/>
        <v>67348.133000000002</v>
      </c>
      <c r="T465" s="139">
        <f t="shared" si="331"/>
        <v>909033.2</v>
      </c>
      <c r="U465" s="151">
        <f t="shared" si="331"/>
        <v>709426.87999999989</v>
      </c>
      <c r="V465" s="151">
        <f t="shared" si="331"/>
        <v>712905.103</v>
      </c>
      <c r="W465" s="151">
        <f t="shared" si="331"/>
        <v>712905.103</v>
      </c>
      <c r="X465" s="139">
        <f t="shared" si="331"/>
        <v>74142.412000000011</v>
      </c>
      <c r="Y465" s="139">
        <f t="shared" si="331"/>
        <v>503571.46100000001</v>
      </c>
      <c r="Z465" s="452"/>
    </row>
    <row r="466" spans="1:26">
      <c r="A466" s="460"/>
      <c r="B466" s="41" t="s">
        <v>32</v>
      </c>
      <c r="C466" s="458"/>
      <c r="D466" s="401"/>
      <c r="E466" s="458"/>
      <c r="F466" s="455"/>
      <c r="G466" s="139">
        <f t="shared" ref="G466:G467" si="333">SUM(H466)</f>
        <v>41293.5</v>
      </c>
      <c r="H466" s="139">
        <f t="shared" ref="H466:Y466" si="334">H449+H146</f>
        <v>41293.5</v>
      </c>
      <c r="I466" s="139">
        <f t="shared" si="334"/>
        <v>25280.574999999997</v>
      </c>
      <c r="J466" s="139">
        <f t="shared" si="334"/>
        <v>27010.179</v>
      </c>
      <c r="K466" s="139">
        <f t="shared" si="334"/>
        <v>27010.179</v>
      </c>
      <c r="L466" s="139">
        <f t="shared" si="334"/>
        <v>0</v>
      </c>
      <c r="M466" s="139">
        <f t="shared" si="334"/>
        <v>7860.1109999999999</v>
      </c>
      <c r="N466" s="139">
        <f t="shared" si="334"/>
        <v>5361.9560000000001</v>
      </c>
      <c r="O466" s="139">
        <f t="shared" si="334"/>
        <v>5361.9560000000001</v>
      </c>
      <c r="P466" s="253">
        <f t="shared" ref="P466:S466" si="335">P449+P146</f>
        <v>0</v>
      </c>
      <c r="Q466" s="253">
        <f t="shared" si="335"/>
        <v>1816.17</v>
      </c>
      <c r="R466" s="253">
        <f t="shared" si="335"/>
        <v>2481.0630000000001</v>
      </c>
      <c r="S466" s="253">
        <f t="shared" si="335"/>
        <v>2481.0630000000001</v>
      </c>
      <c r="T466" s="139">
        <f t="shared" si="334"/>
        <v>41293.5</v>
      </c>
      <c r="U466" s="151">
        <f t="shared" si="334"/>
        <v>34956.856</v>
      </c>
      <c r="V466" s="151">
        <f t="shared" si="334"/>
        <v>34853.198000000004</v>
      </c>
      <c r="W466" s="151">
        <f t="shared" si="334"/>
        <v>34853.198000000004</v>
      </c>
      <c r="X466" s="139">
        <f t="shared" si="334"/>
        <v>3575.297</v>
      </c>
      <c r="Y466" s="139">
        <f t="shared" si="334"/>
        <v>27010.179</v>
      </c>
      <c r="Z466" s="452"/>
    </row>
    <row r="467" spans="1:26">
      <c r="A467" s="460"/>
      <c r="B467" s="41" t="s">
        <v>33</v>
      </c>
      <c r="C467" s="458"/>
      <c r="D467" s="401"/>
      <c r="E467" s="458"/>
      <c r="F467" s="455"/>
      <c r="G467" s="139">
        <f t="shared" si="333"/>
        <v>170637.19999999998</v>
      </c>
      <c r="H467" s="139">
        <f t="shared" ref="H467:Y467" si="336">H450+H147</f>
        <v>170637.19999999998</v>
      </c>
      <c r="I467" s="139">
        <f t="shared" si="336"/>
        <v>120014.605</v>
      </c>
      <c r="J467" s="139">
        <f t="shared" si="336"/>
        <v>130159.57</v>
      </c>
      <c r="K467" s="139">
        <f t="shared" si="336"/>
        <v>130159.57</v>
      </c>
      <c r="L467" s="139">
        <f t="shared" si="336"/>
        <v>0</v>
      </c>
      <c r="M467" s="139">
        <f t="shared" si="336"/>
        <v>23392.731000000003</v>
      </c>
      <c r="N467" s="139">
        <f t="shared" si="336"/>
        <v>16626.436999999998</v>
      </c>
      <c r="O467" s="139">
        <f t="shared" si="336"/>
        <v>16626.433000000001</v>
      </c>
      <c r="P467" s="253">
        <f t="shared" ref="P467:S467" si="337">P450+P147</f>
        <v>0</v>
      </c>
      <c r="Q467" s="253">
        <f t="shared" si="337"/>
        <v>4611.1419999999998</v>
      </c>
      <c r="R467" s="253">
        <f t="shared" si="337"/>
        <v>3303.5239999999994</v>
      </c>
      <c r="S467" s="253">
        <f t="shared" si="337"/>
        <v>3303.5239999999994</v>
      </c>
      <c r="T467" s="139">
        <f t="shared" si="336"/>
        <v>170637.19999999998</v>
      </c>
      <c r="U467" s="151">
        <f t="shared" si="336"/>
        <v>148018.478</v>
      </c>
      <c r="V467" s="151">
        <f t="shared" si="336"/>
        <v>150089.53100000002</v>
      </c>
      <c r="W467" s="151">
        <f t="shared" si="336"/>
        <v>150089.527</v>
      </c>
      <c r="X467" s="139">
        <f t="shared" si="336"/>
        <v>0</v>
      </c>
      <c r="Y467" s="139">
        <f t="shared" si="336"/>
        <v>130159.57</v>
      </c>
      <c r="Z467" s="452"/>
    </row>
    <row r="468" spans="1:26">
      <c r="A468" s="460"/>
      <c r="B468" s="23" t="s">
        <v>37</v>
      </c>
      <c r="C468" s="458"/>
      <c r="D468" s="401"/>
      <c r="E468" s="458"/>
      <c r="F468" s="455"/>
      <c r="G468" s="140">
        <f>SUM(H468)</f>
        <v>683400</v>
      </c>
      <c r="H468" s="140">
        <f>SUM(H469:H470)</f>
        <v>683400</v>
      </c>
      <c r="I468" s="140">
        <f t="shared" ref="I468:K468" si="338">SUM(I469:I470)</f>
        <v>0</v>
      </c>
      <c r="J468" s="140">
        <f t="shared" si="338"/>
        <v>0</v>
      </c>
      <c r="K468" s="140">
        <f t="shared" si="338"/>
        <v>0</v>
      </c>
      <c r="L468" s="140">
        <f t="shared" ref="L468:T468" si="339">SUM(L469:L470)</f>
        <v>0</v>
      </c>
      <c r="M468" s="140">
        <f t="shared" si="339"/>
        <v>0</v>
      </c>
      <c r="N468" s="140">
        <f t="shared" si="339"/>
        <v>0</v>
      </c>
      <c r="O468" s="140">
        <f t="shared" si="339"/>
        <v>0</v>
      </c>
      <c r="P468" s="254">
        <f t="shared" ref="P468:S468" si="340">SUM(P469:P470)</f>
        <v>0</v>
      </c>
      <c r="Q468" s="254">
        <f t="shared" si="340"/>
        <v>0</v>
      </c>
      <c r="R468" s="254">
        <f t="shared" si="340"/>
        <v>0</v>
      </c>
      <c r="S468" s="254">
        <f t="shared" si="340"/>
        <v>0</v>
      </c>
      <c r="T468" s="140">
        <f t="shared" si="339"/>
        <v>683400</v>
      </c>
      <c r="U468" s="150">
        <f t="shared" ref="U468" si="341">SUM(U469:U470)</f>
        <v>0</v>
      </c>
      <c r="V468" s="150">
        <f t="shared" ref="V468:W468" si="342">SUM(V469:V470)</f>
        <v>0</v>
      </c>
      <c r="W468" s="150">
        <f t="shared" si="342"/>
        <v>0</v>
      </c>
      <c r="X468" s="140">
        <f>SUM(X469:X470)</f>
        <v>0</v>
      </c>
      <c r="Y468" s="140">
        <f>SUM(Y469:Y470)</f>
        <v>0</v>
      </c>
      <c r="Z468" s="452"/>
    </row>
    <row r="469" spans="1:26">
      <c r="A469" s="460"/>
      <c r="B469" s="41" t="s">
        <v>56</v>
      </c>
      <c r="C469" s="458"/>
      <c r="D469" s="401"/>
      <c r="E469" s="458"/>
      <c r="F469" s="455"/>
      <c r="G469" s="139">
        <f>SUM(H469)</f>
        <v>357000</v>
      </c>
      <c r="H469" s="139">
        <f t="shared" ref="H469:Y470" si="343">H452</f>
        <v>357000</v>
      </c>
      <c r="I469" s="139">
        <f t="shared" ref="I469:K469" si="344">I452</f>
        <v>0</v>
      </c>
      <c r="J469" s="139">
        <f t="shared" si="344"/>
        <v>0</v>
      </c>
      <c r="K469" s="139">
        <f t="shared" si="344"/>
        <v>0</v>
      </c>
      <c r="L469" s="139">
        <f t="shared" ref="L469:T469" si="345">L452</f>
        <v>0</v>
      </c>
      <c r="M469" s="139">
        <f t="shared" si="345"/>
        <v>0</v>
      </c>
      <c r="N469" s="139">
        <f t="shared" si="345"/>
        <v>0</v>
      </c>
      <c r="O469" s="139">
        <f t="shared" si="345"/>
        <v>0</v>
      </c>
      <c r="P469" s="253">
        <f t="shared" ref="P469:S469" si="346">P452</f>
        <v>0</v>
      </c>
      <c r="Q469" s="253">
        <f t="shared" si="346"/>
        <v>0</v>
      </c>
      <c r="R469" s="253">
        <f t="shared" si="346"/>
        <v>0</v>
      </c>
      <c r="S469" s="253">
        <f t="shared" si="346"/>
        <v>0</v>
      </c>
      <c r="T469" s="139">
        <f t="shared" si="345"/>
        <v>357000</v>
      </c>
      <c r="U469" s="151">
        <f t="shared" ref="U469" si="347">U452</f>
        <v>0</v>
      </c>
      <c r="V469" s="151">
        <f t="shared" ref="V469:W469" si="348">V452</f>
        <v>0</v>
      </c>
      <c r="W469" s="151">
        <f t="shared" si="348"/>
        <v>0</v>
      </c>
      <c r="X469" s="139">
        <f t="shared" si="343"/>
        <v>0</v>
      </c>
      <c r="Y469" s="139">
        <f t="shared" si="343"/>
        <v>0</v>
      </c>
      <c r="Z469" s="452"/>
    </row>
    <row r="470" spans="1:26">
      <c r="A470" s="460"/>
      <c r="B470" s="41" t="s">
        <v>57</v>
      </c>
      <c r="C470" s="458"/>
      <c r="D470" s="401"/>
      <c r="E470" s="458"/>
      <c r="F470" s="455"/>
      <c r="G470" s="151">
        <f>SUM(H470)</f>
        <v>326400</v>
      </c>
      <c r="H470" s="139">
        <f t="shared" si="343"/>
        <v>326400</v>
      </c>
      <c r="I470" s="139">
        <f t="shared" ref="I470:K470" si="349">I453</f>
        <v>0</v>
      </c>
      <c r="J470" s="139">
        <f t="shared" si="349"/>
        <v>0</v>
      </c>
      <c r="K470" s="139">
        <f t="shared" si="349"/>
        <v>0</v>
      </c>
      <c r="L470" s="139">
        <f t="shared" ref="L470:T470" si="350">L453</f>
        <v>0</v>
      </c>
      <c r="M470" s="139">
        <f t="shared" si="350"/>
        <v>0</v>
      </c>
      <c r="N470" s="139">
        <f t="shared" si="350"/>
        <v>0</v>
      </c>
      <c r="O470" s="139">
        <f t="shared" si="350"/>
        <v>0</v>
      </c>
      <c r="P470" s="253">
        <f t="shared" ref="P470:S470" si="351">P453</f>
        <v>0</v>
      </c>
      <c r="Q470" s="253">
        <f t="shared" si="351"/>
        <v>0</v>
      </c>
      <c r="R470" s="253">
        <f t="shared" si="351"/>
        <v>0</v>
      </c>
      <c r="S470" s="253">
        <f t="shared" si="351"/>
        <v>0</v>
      </c>
      <c r="T470" s="139">
        <f t="shared" si="350"/>
        <v>326400</v>
      </c>
      <c r="U470" s="151">
        <f t="shared" ref="U470" si="352">U453</f>
        <v>0</v>
      </c>
      <c r="V470" s="151">
        <f t="shared" ref="V470:W470" si="353">V453</f>
        <v>0</v>
      </c>
      <c r="W470" s="151">
        <f t="shared" si="353"/>
        <v>0</v>
      </c>
      <c r="X470" s="139">
        <f t="shared" si="343"/>
        <v>0</v>
      </c>
      <c r="Y470" s="139">
        <f t="shared" si="343"/>
        <v>0</v>
      </c>
      <c r="Z470" s="452"/>
    </row>
    <row r="471" spans="1:26" s="195" customFormat="1" ht="13.5">
      <c r="A471" s="460"/>
      <c r="B471" s="22" t="s">
        <v>132</v>
      </c>
      <c r="C471" s="458"/>
      <c r="D471" s="401"/>
      <c r="E471" s="458"/>
      <c r="F471" s="455"/>
      <c r="G471" s="140">
        <v>75000</v>
      </c>
      <c r="H471" s="133"/>
      <c r="I471" s="133"/>
      <c r="J471" s="133"/>
      <c r="K471" s="133"/>
      <c r="L471" s="133">
        <v>75000</v>
      </c>
      <c r="M471" s="133"/>
      <c r="N471" s="133"/>
      <c r="O471" s="133"/>
      <c r="P471" s="248">
        <v>75000</v>
      </c>
      <c r="Q471" s="248"/>
      <c r="R471" s="248"/>
      <c r="S471" s="248"/>
      <c r="T471" s="133"/>
      <c r="U471" s="148"/>
      <c r="V471" s="148"/>
      <c r="W471" s="148"/>
      <c r="X471" s="140">
        <v>75000</v>
      </c>
      <c r="Y471" s="133"/>
      <c r="Z471" s="452"/>
    </row>
    <row r="472" spans="1:26">
      <c r="A472" s="437"/>
      <c r="B472" s="22" t="s">
        <v>118</v>
      </c>
      <c r="C472" s="459"/>
      <c r="D472" s="402"/>
      <c r="E472" s="459"/>
      <c r="F472" s="456"/>
      <c r="G472" s="140">
        <v>386100</v>
      </c>
      <c r="H472" s="140">
        <f t="shared" ref="H472:Y472" si="354">H60</f>
        <v>289575</v>
      </c>
      <c r="I472" s="140">
        <f t="shared" si="354"/>
        <v>0</v>
      </c>
      <c r="J472" s="140">
        <f t="shared" si="354"/>
        <v>0</v>
      </c>
      <c r="K472" s="140">
        <f t="shared" si="354"/>
        <v>0</v>
      </c>
      <c r="L472" s="140">
        <f t="shared" ref="L472:T472" si="355">L60</f>
        <v>96525</v>
      </c>
      <c r="M472" s="140">
        <f t="shared" si="355"/>
        <v>26582.837</v>
      </c>
      <c r="N472" s="140">
        <f t="shared" si="355"/>
        <v>395655.16899999999</v>
      </c>
      <c r="O472" s="140">
        <f t="shared" si="355"/>
        <v>16721.403999999999</v>
      </c>
      <c r="P472" s="254">
        <f t="shared" ref="P472:S472" si="356">P60</f>
        <v>0</v>
      </c>
      <c r="Q472" s="254">
        <f t="shared" si="356"/>
        <v>0</v>
      </c>
      <c r="R472" s="254">
        <f t="shared" si="356"/>
        <v>0</v>
      </c>
      <c r="S472" s="254">
        <f t="shared" si="356"/>
        <v>0</v>
      </c>
      <c r="T472" s="140">
        <f t="shared" si="355"/>
        <v>386100</v>
      </c>
      <c r="U472" s="150">
        <f t="shared" ref="U472" si="357">U60</f>
        <v>26582.837</v>
      </c>
      <c r="V472" s="150">
        <f t="shared" ref="V472:W472" si="358">V60</f>
        <v>395655.16899999999</v>
      </c>
      <c r="W472" s="150">
        <f t="shared" si="358"/>
        <v>16721.403999999999</v>
      </c>
      <c r="X472" s="140">
        <f t="shared" si="354"/>
        <v>96525</v>
      </c>
      <c r="Y472" s="140">
        <f t="shared" si="354"/>
        <v>0</v>
      </c>
      <c r="Z472" s="453"/>
    </row>
    <row r="473" spans="1:26">
      <c r="A473" s="189"/>
      <c r="B473" s="132"/>
      <c r="C473" s="190"/>
      <c r="D473" s="191"/>
      <c r="E473" s="190"/>
      <c r="F473" s="192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93"/>
    </row>
    <row r="474" spans="1:26">
      <c r="J474" s="131"/>
    </row>
    <row r="475" spans="1:26">
      <c r="B475" s="129" t="s">
        <v>187</v>
      </c>
      <c r="K475" s="131"/>
      <c r="M475" s="131" t="s">
        <v>188</v>
      </c>
      <c r="Q475" s="131" t="s">
        <v>188</v>
      </c>
    </row>
    <row r="476" spans="1:26">
      <c r="K476" s="131"/>
      <c r="M476" s="131"/>
      <c r="Q476" s="131"/>
    </row>
    <row r="477" spans="1:26">
      <c r="B477" s="129" t="s">
        <v>189</v>
      </c>
      <c r="K477" s="131"/>
      <c r="M477" s="131" t="s">
        <v>190</v>
      </c>
      <c r="Q477" s="131" t="s">
        <v>190</v>
      </c>
    </row>
    <row r="478" spans="1:26">
      <c r="K478" s="131"/>
      <c r="M478" s="131"/>
      <c r="Q478" s="131"/>
    </row>
    <row r="479" spans="1:26">
      <c r="B479" s="129" t="s">
        <v>200</v>
      </c>
      <c r="K479" s="131"/>
      <c r="M479" s="131" t="s">
        <v>191</v>
      </c>
      <c r="Q479" s="131" t="s">
        <v>191</v>
      </c>
    </row>
    <row r="480" spans="1:26">
      <c r="K480" s="131"/>
      <c r="M480" s="131"/>
      <c r="Q480" s="131"/>
    </row>
    <row r="481" spans="2:17">
      <c r="B481" s="129" t="s">
        <v>192</v>
      </c>
      <c r="K481" s="131"/>
      <c r="M481" s="131" t="s">
        <v>193</v>
      </c>
      <c r="Q481" s="131" t="s">
        <v>193</v>
      </c>
    </row>
    <row r="482" spans="2:17">
      <c r="J482" s="131"/>
      <c r="K482" s="131"/>
    </row>
    <row r="483" spans="2:17">
      <c r="B483" s="129" t="s">
        <v>194</v>
      </c>
      <c r="J483" s="131"/>
    </row>
    <row r="484" spans="2:17">
      <c r="J484" s="131"/>
    </row>
    <row r="485" spans="2:17">
      <c r="B485" s="129" t="s">
        <v>195</v>
      </c>
      <c r="G485" s="131" t="s">
        <v>196</v>
      </c>
    </row>
    <row r="486" spans="2:17">
      <c r="G486" s="131"/>
    </row>
    <row r="487" spans="2:17">
      <c r="B487" s="129" t="s">
        <v>197</v>
      </c>
      <c r="G487" s="131" t="s">
        <v>198</v>
      </c>
    </row>
  </sheetData>
  <mergeCells count="649">
    <mergeCell ref="V440:V441"/>
    <mergeCell ref="W440:W441"/>
    <mergeCell ref="T440:T441"/>
    <mergeCell ref="R426:R427"/>
    <mergeCell ref="S426:S427"/>
    <mergeCell ref="P440:P441"/>
    <mergeCell ref="Q440:Q441"/>
    <mergeCell ref="P443:P444"/>
    <mergeCell ref="Q443:Q444"/>
    <mergeCell ref="R443:R444"/>
    <mergeCell ref="S443:S444"/>
    <mergeCell ref="U440:U441"/>
    <mergeCell ref="P238:P239"/>
    <mergeCell ref="P251:P252"/>
    <mergeCell ref="Q251:Q252"/>
    <mergeCell ref="R251:R252"/>
    <mergeCell ref="S251:S252"/>
    <mergeCell ref="P265:P266"/>
    <mergeCell ref="P287:P288"/>
    <mergeCell ref="Q287:Q288"/>
    <mergeCell ref="R287:R288"/>
    <mergeCell ref="S287:S288"/>
    <mergeCell ref="Q238:Q239"/>
    <mergeCell ref="R238:R239"/>
    <mergeCell ref="S238:S239"/>
    <mergeCell ref="P140:P141"/>
    <mergeCell ref="Q140:Q141"/>
    <mergeCell ref="R140:R141"/>
    <mergeCell ref="S140:S141"/>
    <mergeCell ref="P160:P161"/>
    <mergeCell ref="Q160:Q161"/>
    <mergeCell ref="R160:R161"/>
    <mergeCell ref="S160:S161"/>
    <mergeCell ref="P194:P195"/>
    <mergeCell ref="P1:S1"/>
    <mergeCell ref="P7:P8"/>
    <mergeCell ref="Q7:Q8"/>
    <mergeCell ref="R7:R8"/>
    <mergeCell ref="S7:S8"/>
    <mergeCell ref="P32:P33"/>
    <mergeCell ref="Q32:Q33"/>
    <mergeCell ref="R32:R33"/>
    <mergeCell ref="S32:S33"/>
    <mergeCell ref="N7:N8"/>
    <mergeCell ref="O7:O8"/>
    <mergeCell ref="N32:N33"/>
    <mergeCell ref="O32:O33"/>
    <mergeCell ref="N160:N161"/>
    <mergeCell ref="O160:O161"/>
    <mergeCell ref="N356:N357"/>
    <mergeCell ref="O356:O357"/>
    <mergeCell ref="L1:O1"/>
    <mergeCell ref="T1:W1"/>
    <mergeCell ref="L7:L8"/>
    <mergeCell ref="L32:L33"/>
    <mergeCell ref="L62:L63"/>
    <mergeCell ref="L93:L94"/>
    <mergeCell ref="L104:L105"/>
    <mergeCell ref="L115:L116"/>
    <mergeCell ref="I7:I8"/>
    <mergeCell ref="J7:J8"/>
    <mergeCell ref="K7:K8"/>
    <mergeCell ref="I32:I33"/>
    <mergeCell ref="J32:J33"/>
    <mergeCell ref="K32:K33"/>
    <mergeCell ref="T7:T8"/>
    <mergeCell ref="T32:T33"/>
    <mergeCell ref="T62:T63"/>
    <mergeCell ref="U7:U8"/>
    <mergeCell ref="V7:V8"/>
    <mergeCell ref="W7:W8"/>
    <mergeCell ref="U32:U33"/>
    <mergeCell ref="V32:V33"/>
    <mergeCell ref="W32:W33"/>
    <mergeCell ref="U62:U63"/>
    <mergeCell ref="W62:W63"/>
    <mergeCell ref="G382:G383"/>
    <mergeCell ref="H382:H383"/>
    <mergeCell ref="F333:F343"/>
    <mergeCell ref="F139:F150"/>
    <mergeCell ref="H62:H63"/>
    <mergeCell ref="F403:F413"/>
    <mergeCell ref="F425:F438"/>
    <mergeCell ref="F392:F402"/>
    <mergeCell ref="H393:H394"/>
    <mergeCell ref="F381:F391"/>
    <mergeCell ref="H251:H252"/>
    <mergeCell ref="H140:H141"/>
    <mergeCell ref="H137:H138"/>
    <mergeCell ref="G126:G127"/>
    <mergeCell ref="H205:H206"/>
    <mergeCell ref="H265:H266"/>
    <mergeCell ref="G265:G266"/>
    <mergeCell ref="F155:F156"/>
    <mergeCell ref="F264:F274"/>
    <mergeCell ref="H216:H217"/>
    <mergeCell ref="F226:F236"/>
    <mergeCell ref="H194:H195"/>
    <mergeCell ref="F215:F225"/>
    <mergeCell ref="F204:F214"/>
    <mergeCell ref="E392:E402"/>
    <mergeCell ref="E381:E391"/>
    <mergeCell ref="A369:A380"/>
    <mergeCell ref="C369:C380"/>
    <mergeCell ref="D369:D380"/>
    <mergeCell ref="A381:A391"/>
    <mergeCell ref="H7:H8"/>
    <mergeCell ref="I443:I444"/>
    <mergeCell ref="J443:J444"/>
    <mergeCell ref="C381:C391"/>
    <mergeCell ref="D392:D402"/>
    <mergeCell ref="D381:D391"/>
    <mergeCell ref="A392:A402"/>
    <mergeCell ref="C392:C402"/>
    <mergeCell ref="A414:A424"/>
    <mergeCell ref="C414:C424"/>
    <mergeCell ref="E403:E413"/>
    <mergeCell ref="A403:A413"/>
    <mergeCell ref="C403:C413"/>
    <mergeCell ref="D403:D413"/>
    <mergeCell ref="G443:G444"/>
    <mergeCell ref="H443:H444"/>
    <mergeCell ref="F442:F454"/>
    <mergeCell ref="H440:H441"/>
    <mergeCell ref="E459:E472"/>
    <mergeCell ref="E442:E454"/>
    <mergeCell ref="A459:A472"/>
    <mergeCell ref="C459:C472"/>
    <mergeCell ref="D459:D472"/>
    <mergeCell ref="A425:A438"/>
    <mergeCell ref="A442:A454"/>
    <mergeCell ref="A439:A441"/>
    <mergeCell ref="C442:C454"/>
    <mergeCell ref="C425:C438"/>
    <mergeCell ref="D442:D454"/>
    <mergeCell ref="E425:E438"/>
    <mergeCell ref="Z459:Z472"/>
    <mergeCell ref="G460:G461"/>
    <mergeCell ref="H460:H461"/>
    <mergeCell ref="X460:X461"/>
    <mergeCell ref="Y460:Y461"/>
    <mergeCell ref="F459:F472"/>
    <mergeCell ref="I460:I461"/>
    <mergeCell ref="J460:J461"/>
    <mergeCell ref="K460:K461"/>
    <mergeCell ref="L460:L461"/>
    <mergeCell ref="M460:M461"/>
    <mergeCell ref="N460:N461"/>
    <mergeCell ref="O460:O461"/>
    <mergeCell ref="T460:T461"/>
    <mergeCell ref="U460:U461"/>
    <mergeCell ref="V460:V461"/>
    <mergeCell ref="W460:W461"/>
    <mergeCell ref="P460:P461"/>
    <mergeCell ref="Q460:Q461"/>
    <mergeCell ref="R460:R461"/>
    <mergeCell ref="S460:S461"/>
    <mergeCell ref="G440:G441"/>
    <mergeCell ref="X443:X444"/>
    <mergeCell ref="Z442:Z454"/>
    <mergeCell ref="Y443:Y444"/>
    <mergeCell ref="G426:G427"/>
    <mergeCell ref="Z425:Z438"/>
    <mergeCell ref="X426:X427"/>
    <mergeCell ref="Y426:Y427"/>
    <mergeCell ref="X440:X441"/>
    <mergeCell ref="Y440:Y441"/>
    <mergeCell ref="K443:K444"/>
    <mergeCell ref="I440:I441"/>
    <mergeCell ref="J440:J441"/>
    <mergeCell ref="K440:K441"/>
    <mergeCell ref="L440:L441"/>
    <mergeCell ref="M440:M441"/>
    <mergeCell ref="L443:L444"/>
    <mergeCell ref="M443:M444"/>
    <mergeCell ref="N443:N444"/>
    <mergeCell ref="O443:O444"/>
    <mergeCell ref="T443:T444"/>
    <mergeCell ref="U443:U444"/>
    <mergeCell ref="V443:V444"/>
    <mergeCell ref="W443:W444"/>
    <mergeCell ref="Z414:Z424"/>
    <mergeCell ref="Y415:Y416"/>
    <mergeCell ref="X415:X416"/>
    <mergeCell ref="D414:D424"/>
    <mergeCell ref="E414:E424"/>
    <mergeCell ref="F414:F424"/>
    <mergeCell ref="G415:G416"/>
    <mergeCell ref="H415:H416"/>
    <mergeCell ref="D425:D438"/>
    <mergeCell ref="H426:H427"/>
    <mergeCell ref="L415:L416"/>
    <mergeCell ref="L426:L427"/>
    <mergeCell ref="M426:M427"/>
    <mergeCell ref="T415:T416"/>
    <mergeCell ref="T426:T427"/>
    <mergeCell ref="U415:U416"/>
    <mergeCell ref="U426:U427"/>
    <mergeCell ref="V415:V416"/>
    <mergeCell ref="V426:V427"/>
    <mergeCell ref="N426:N427"/>
    <mergeCell ref="O426:O427"/>
    <mergeCell ref="P415:P416"/>
    <mergeCell ref="P426:P427"/>
    <mergeCell ref="Q426:Q427"/>
    <mergeCell ref="Z403:Z413"/>
    <mergeCell ref="G404:G405"/>
    <mergeCell ref="Z392:Z402"/>
    <mergeCell ref="X393:X394"/>
    <mergeCell ref="Y393:Y394"/>
    <mergeCell ref="H404:H405"/>
    <mergeCell ref="X404:X405"/>
    <mergeCell ref="Y404:Y405"/>
    <mergeCell ref="G393:G394"/>
    <mergeCell ref="T393:T394"/>
    <mergeCell ref="L393:L394"/>
    <mergeCell ref="T404:T405"/>
    <mergeCell ref="U393:U394"/>
    <mergeCell ref="U404:U405"/>
    <mergeCell ref="V393:V394"/>
    <mergeCell ref="V404:V405"/>
    <mergeCell ref="L404:L405"/>
    <mergeCell ref="P393:P394"/>
    <mergeCell ref="P404:P405"/>
    <mergeCell ref="E369:E380"/>
    <mergeCell ref="Z355:Z368"/>
    <mergeCell ref="G356:G357"/>
    <mergeCell ref="H356:H357"/>
    <mergeCell ref="X356:X357"/>
    <mergeCell ref="Y356:Y357"/>
    <mergeCell ref="I356:I357"/>
    <mergeCell ref="J356:J357"/>
    <mergeCell ref="K356:K357"/>
    <mergeCell ref="Z369:Z380"/>
    <mergeCell ref="F355:F368"/>
    <mergeCell ref="F369:F380"/>
    <mergeCell ref="I370:I371"/>
    <mergeCell ref="J370:J371"/>
    <mergeCell ref="K370:K371"/>
    <mergeCell ref="P356:P357"/>
    <mergeCell ref="Q356:Q357"/>
    <mergeCell ref="R356:R357"/>
    <mergeCell ref="S356:S357"/>
    <mergeCell ref="P370:P371"/>
    <mergeCell ref="X382:X383"/>
    <mergeCell ref="Y382:Y383"/>
    <mergeCell ref="H370:H371"/>
    <mergeCell ref="X370:X371"/>
    <mergeCell ref="Z381:Z391"/>
    <mergeCell ref="Y370:Y371"/>
    <mergeCell ref="G370:G371"/>
    <mergeCell ref="Z322:Z332"/>
    <mergeCell ref="H323:H324"/>
    <mergeCell ref="X334:X335"/>
    <mergeCell ref="G334:G335"/>
    <mergeCell ref="Z344:Z354"/>
    <mergeCell ref="Z333:Z343"/>
    <mergeCell ref="Y323:Y324"/>
    <mergeCell ref="L382:L383"/>
    <mergeCell ref="U370:U371"/>
    <mergeCell ref="U382:U383"/>
    <mergeCell ref="V356:V357"/>
    <mergeCell ref="V370:V371"/>
    <mergeCell ref="V382:V383"/>
    <mergeCell ref="W334:W335"/>
    <mergeCell ref="W345:W346"/>
    <mergeCell ref="W356:W357"/>
    <mergeCell ref="W370:W371"/>
    <mergeCell ref="A333:A343"/>
    <mergeCell ref="C333:C343"/>
    <mergeCell ref="A355:A368"/>
    <mergeCell ref="C355:C368"/>
    <mergeCell ref="D355:D368"/>
    <mergeCell ref="E355:E368"/>
    <mergeCell ref="X345:X346"/>
    <mergeCell ref="Y345:Y346"/>
    <mergeCell ref="Y334:Y335"/>
    <mergeCell ref="H334:H335"/>
    <mergeCell ref="A344:A354"/>
    <mergeCell ref="C344:C354"/>
    <mergeCell ref="G345:G346"/>
    <mergeCell ref="H345:H346"/>
    <mergeCell ref="D344:D354"/>
    <mergeCell ref="E344:E354"/>
    <mergeCell ref="F344:F354"/>
    <mergeCell ref="D333:D343"/>
    <mergeCell ref="E333:E343"/>
    <mergeCell ref="U334:U335"/>
    <mergeCell ref="U345:U346"/>
    <mergeCell ref="U356:U357"/>
    <mergeCell ref="V334:V335"/>
    <mergeCell ref="V345:V346"/>
    <mergeCell ref="X311:X312"/>
    <mergeCell ref="X323:X324"/>
    <mergeCell ref="A322:A332"/>
    <mergeCell ref="G323:G324"/>
    <mergeCell ref="C322:C332"/>
    <mergeCell ref="D322:D332"/>
    <mergeCell ref="C310:C321"/>
    <mergeCell ref="A310:A321"/>
    <mergeCell ref="Y311:Y312"/>
    <mergeCell ref="F310:F321"/>
    <mergeCell ref="F322:F332"/>
    <mergeCell ref="H311:H312"/>
    <mergeCell ref="G311:G312"/>
    <mergeCell ref="I311:I312"/>
    <mergeCell ref="J311:J312"/>
    <mergeCell ref="K311:K312"/>
    <mergeCell ref="E322:E332"/>
    <mergeCell ref="E310:E321"/>
    <mergeCell ref="D310:D321"/>
    <mergeCell ref="L311:L312"/>
    <mergeCell ref="P311:P312"/>
    <mergeCell ref="Q311:Q312"/>
    <mergeCell ref="R311:R312"/>
    <mergeCell ref="S311:S312"/>
    <mergeCell ref="D299:D309"/>
    <mergeCell ref="D264:D274"/>
    <mergeCell ref="G140:G141"/>
    <mergeCell ref="G216:G217"/>
    <mergeCell ref="F193:F203"/>
    <mergeCell ref="G205:G206"/>
    <mergeCell ref="E193:E203"/>
    <mergeCell ref="C286:C298"/>
    <mergeCell ref="C226:C236"/>
    <mergeCell ref="G251:G252"/>
    <mergeCell ref="F250:F263"/>
    <mergeCell ref="E204:E214"/>
    <mergeCell ref="D139:D150"/>
    <mergeCell ref="E250:E263"/>
    <mergeCell ref="G155:G156"/>
    <mergeCell ref="F159:F192"/>
    <mergeCell ref="G160:G161"/>
    <mergeCell ref="C159:C192"/>
    <mergeCell ref="C237:C249"/>
    <mergeCell ref="D159:D192"/>
    <mergeCell ref="C155:C156"/>
    <mergeCell ref="E299:E309"/>
    <mergeCell ref="F299:F309"/>
    <mergeCell ref="D155:D156"/>
    <mergeCell ref="X300:X301"/>
    <mergeCell ref="Y300:Y301"/>
    <mergeCell ref="Y160:Y161"/>
    <mergeCell ref="H160:H161"/>
    <mergeCell ref="Y82:Y83"/>
    <mergeCell ref="Y140:Y141"/>
    <mergeCell ref="X205:X206"/>
    <mergeCell ref="Y137:Y138"/>
    <mergeCell ref="X93:X94"/>
    <mergeCell ref="X140:X141"/>
    <mergeCell ref="I137:I138"/>
    <mergeCell ref="J137:J138"/>
    <mergeCell ref="K137:K138"/>
    <mergeCell ref="L126:L127"/>
    <mergeCell ref="L137:L138"/>
    <mergeCell ref="L140:L141"/>
    <mergeCell ref="M140:M141"/>
    <mergeCell ref="N140:N141"/>
    <mergeCell ref="O140:O141"/>
    <mergeCell ref="T140:T141"/>
    <mergeCell ref="U140:U141"/>
    <mergeCell ref="V140:V141"/>
    <mergeCell ref="W140:W141"/>
    <mergeCell ref="L160:L161"/>
    <mergeCell ref="X7:X8"/>
    <mergeCell ref="A103:A113"/>
    <mergeCell ref="C103:C113"/>
    <mergeCell ref="Z1:Z2"/>
    <mergeCell ref="Z6:Z30"/>
    <mergeCell ref="Y7:Y8"/>
    <mergeCell ref="C6:C30"/>
    <mergeCell ref="D6:D30"/>
    <mergeCell ref="Z31:Z60"/>
    <mergeCell ref="Z61:Z80"/>
    <mergeCell ref="X62:X63"/>
    <mergeCell ref="H1:K1"/>
    <mergeCell ref="G1:G2"/>
    <mergeCell ref="I62:I63"/>
    <mergeCell ref="J62:J63"/>
    <mergeCell ref="K62:K63"/>
    <mergeCell ref="G32:G33"/>
    <mergeCell ref="F31:F60"/>
    <mergeCell ref="F81:F91"/>
    <mergeCell ref="Y32:Y33"/>
    <mergeCell ref="H32:H33"/>
    <mergeCell ref="X32:X33"/>
    <mergeCell ref="Z81:Z91"/>
    <mergeCell ref="Y62:Y63"/>
    <mergeCell ref="A1:A2"/>
    <mergeCell ref="B4:G4"/>
    <mergeCell ref="F1:F2"/>
    <mergeCell ref="A6:A30"/>
    <mergeCell ref="B1:B2"/>
    <mergeCell ref="F6:F30"/>
    <mergeCell ref="E6:E30"/>
    <mergeCell ref="E1:E2"/>
    <mergeCell ref="C1:C2"/>
    <mergeCell ref="D1:D2"/>
    <mergeCell ref="G7:G8"/>
    <mergeCell ref="Z155:Z156"/>
    <mergeCell ref="Z139:Z150"/>
    <mergeCell ref="H155:Y155"/>
    <mergeCell ref="H93:H94"/>
    <mergeCell ref="X82:X83"/>
    <mergeCell ref="H82:H83"/>
    <mergeCell ref="X115:X116"/>
    <mergeCell ref="Z92:Z102"/>
    <mergeCell ref="Y93:Y94"/>
    <mergeCell ref="H126:H127"/>
    <mergeCell ref="H104:H105"/>
    <mergeCell ref="X104:X105"/>
    <mergeCell ref="T126:T127"/>
    <mergeCell ref="T137:T138"/>
    <mergeCell ref="U126:U127"/>
    <mergeCell ref="V126:V127"/>
    <mergeCell ref="W126:W127"/>
    <mergeCell ref="U137:U138"/>
    <mergeCell ref="V137:V138"/>
    <mergeCell ref="W137:W138"/>
    <mergeCell ref="I140:I141"/>
    <mergeCell ref="J140:J141"/>
    <mergeCell ref="K140:K141"/>
    <mergeCell ref="X126:X127"/>
    <mergeCell ref="Y104:Y105"/>
    <mergeCell ref="C114:C124"/>
    <mergeCell ref="D114:D124"/>
    <mergeCell ref="A125:A135"/>
    <mergeCell ref="G115:G116"/>
    <mergeCell ref="F125:F135"/>
    <mergeCell ref="Y115:Y116"/>
    <mergeCell ref="Y126:Y127"/>
    <mergeCell ref="H115:H116"/>
    <mergeCell ref="D125:D135"/>
    <mergeCell ref="E103:E113"/>
    <mergeCell ref="E125:E135"/>
    <mergeCell ref="F114:F124"/>
    <mergeCell ref="G104:G105"/>
    <mergeCell ref="F103:F113"/>
    <mergeCell ref="C125:C135"/>
    <mergeCell ref="E114:E124"/>
    <mergeCell ref="T104:T105"/>
    <mergeCell ref="T115:T116"/>
    <mergeCell ref="A114:A124"/>
    <mergeCell ref="D103:D113"/>
    <mergeCell ref="V104:V105"/>
    <mergeCell ref="W104:W105"/>
    <mergeCell ref="U115:U116"/>
    <mergeCell ref="G227:G228"/>
    <mergeCell ref="H227:H228"/>
    <mergeCell ref="G238:G239"/>
    <mergeCell ref="H238:H239"/>
    <mergeCell ref="F237:F249"/>
    <mergeCell ref="A299:A309"/>
    <mergeCell ref="C299:C309"/>
    <mergeCell ref="C264:C274"/>
    <mergeCell ref="Z286:Z298"/>
    <mergeCell ref="G287:G288"/>
    <mergeCell ref="H287:H288"/>
    <mergeCell ref="A286:A298"/>
    <mergeCell ref="D286:D298"/>
    <mergeCell ref="E286:E298"/>
    <mergeCell ref="F286:F298"/>
    <mergeCell ref="Y287:Y288"/>
    <mergeCell ref="X287:X288"/>
    <mergeCell ref="Z275:Z285"/>
    <mergeCell ref="Z299:Z309"/>
    <mergeCell ref="G300:G301"/>
    <mergeCell ref="H300:H301"/>
    <mergeCell ref="G276:G277"/>
    <mergeCell ref="H276:H277"/>
    <mergeCell ref="F275:F285"/>
    <mergeCell ref="Y276:Y277"/>
    <mergeCell ref="X276:X277"/>
    <mergeCell ref="X265:X266"/>
    <mergeCell ref="Z264:Z274"/>
    <mergeCell ref="Y265:Y266"/>
    <mergeCell ref="D275:D285"/>
    <mergeCell ref="E237:E249"/>
    <mergeCell ref="E264:E274"/>
    <mergeCell ref="A215:A225"/>
    <mergeCell ref="D226:D236"/>
    <mergeCell ref="A275:A285"/>
    <mergeCell ref="A264:A274"/>
    <mergeCell ref="C275:C285"/>
    <mergeCell ref="E215:E225"/>
    <mergeCell ref="E226:E236"/>
    <mergeCell ref="C250:C263"/>
    <mergeCell ref="D250:D263"/>
    <mergeCell ref="A250:A263"/>
    <mergeCell ref="A237:A249"/>
    <mergeCell ref="D237:D249"/>
    <mergeCell ref="A226:A236"/>
    <mergeCell ref="X216:X217"/>
    <mergeCell ref="T238:T239"/>
    <mergeCell ref="T251:T252"/>
    <mergeCell ref="Z310:Z321"/>
    <mergeCell ref="E275:E285"/>
    <mergeCell ref="Y238:Y239"/>
    <mergeCell ref="X227:X228"/>
    <mergeCell ref="X238:X239"/>
    <mergeCell ref="X251:X252"/>
    <mergeCell ref="X137:X138"/>
    <mergeCell ref="G137:G138"/>
    <mergeCell ref="I426:I427"/>
    <mergeCell ref="J426:J427"/>
    <mergeCell ref="K426:K427"/>
    <mergeCell ref="Z159:Z192"/>
    <mergeCell ref="Z193:Z203"/>
    <mergeCell ref="Z237:Z249"/>
    <mergeCell ref="Y216:Y217"/>
    <mergeCell ref="Z226:Z236"/>
    <mergeCell ref="Z204:Z214"/>
    <mergeCell ref="Y194:Y195"/>
    <mergeCell ref="Y205:Y206"/>
    <mergeCell ref="Z215:Z225"/>
    <mergeCell ref="Z250:Z263"/>
    <mergeCell ref="Y227:Y228"/>
    <mergeCell ref="Y251:Y252"/>
    <mergeCell ref="X160:X161"/>
    <mergeCell ref="A31:A60"/>
    <mergeCell ref="C31:C60"/>
    <mergeCell ref="A92:A102"/>
    <mergeCell ref="A81:A91"/>
    <mergeCell ref="A61:A80"/>
    <mergeCell ref="C81:C91"/>
    <mergeCell ref="F61:F80"/>
    <mergeCell ref="E31:E60"/>
    <mergeCell ref="D92:D102"/>
    <mergeCell ref="C92:C102"/>
    <mergeCell ref="F92:F102"/>
    <mergeCell ref="E92:E102"/>
    <mergeCell ref="D31:D60"/>
    <mergeCell ref="D61:D80"/>
    <mergeCell ref="E81:E91"/>
    <mergeCell ref="D81:D91"/>
    <mergeCell ref="C215:C225"/>
    <mergeCell ref="D215:D225"/>
    <mergeCell ref="X194:X195"/>
    <mergeCell ref="G194:G195"/>
    <mergeCell ref="L194:L195"/>
    <mergeCell ref="C61:C80"/>
    <mergeCell ref="E61:E80"/>
    <mergeCell ref="A136:A138"/>
    <mergeCell ref="B155:B156"/>
    <mergeCell ref="A155:A156"/>
    <mergeCell ref="C139:C150"/>
    <mergeCell ref="C193:C203"/>
    <mergeCell ref="A159:A192"/>
    <mergeCell ref="A193:A203"/>
    <mergeCell ref="E159:E192"/>
    <mergeCell ref="G62:G63"/>
    <mergeCell ref="E155:E156"/>
    <mergeCell ref="E139:E150"/>
    <mergeCell ref="G93:G94"/>
    <mergeCell ref="A139:A150"/>
    <mergeCell ref="G82:G83"/>
    <mergeCell ref="W93:W94"/>
    <mergeCell ref="U104:U105"/>
    <mergeCell ref="W115:W116"/>
    <mergeCell ref="A204:A214"/>
    <mergeCell ref="C204:C214"/>
    <mergeCell ref="D204:D214"/>
    <mergeCell ref="J160:J161"/>
    <mergeCell ref="K160:K161"/>
    <mergeCell ref="I160:I161"/>
    <mergeCell ref="T160:T161"/>
    <mergeCell ref="T194:T195"/>
    <mergeCell ref="T205:T206"/>
    <mergeCell ref="L205:L206"/>
    <mergeCell ref="D193:D203"/>
    <mergeCell ref="P205:P206"/>
    <mergeCell ref="T265:T266"/>
    <mergeCell ref="T287:T288"/>
    <mergeCell ref="V62:V63"/>
    <mergeCell ref="T93:T94"/>
    <mergeCell ref="L238:L239"/>
    <mergeCell ref="L251:L252"/>
    <mergeCell ref="L265:L266"/>
    <mergeCell ref="L287:L288"/>
    <mergeCell ref="V287:V288"/>
    <mergeCell ref="U93:U94"/>
    <mergeCell ref="V93:V94"/>
    <mergeCell ref="V115:V116"/>
    <mergeCell ref="M251:M252"/>
    <mergeCell ref="N251:N252"/>
    <mergeCell ref="O251:O252"/>
    <mergeCell ref="M287:M288"/>
    <mergeCell ref="N287:N288"/>
    <mergeCell ref="O287:O288"/>
    <mergeCell ref="P62:P63"/>
    <mergeCell ref="P93:P94"/>
    <mergeCell ref="P104:P105"/>
    <mergeCell ref="P115:P116"/>
    <mergeCell ref="P126:P127"/>
    <mergeCell ref="P137:P138"/>
    <mergeCell ref="T300:T301"/>
    <mergeCell ref="T311:T312"/>
    <mergeCell ref="T334:T335"/>
    <mergeCell ref="T345:T346"/>
    <mergeCell ref="T356:T357"/>
    <mergeCell ref="L356:L357"/>
    <mergeCell ref="L370:L371"/>
    <mergeCell ref="T370:T371"/>
    <mergeCell ref="T382:T383"/>
    <mergeCell ref="L300:L301"/>
    <mergeCell ref="L334:L335"/>
    <mergeCell ref="L345:L346"/>
    <mergeCell ref="M311:M312"/>
    <mergeCell ref="N311:N312"/>
    <mergeCell ref="O311:O312"/>
    <mergeCell ref="P300:P301"/>
    <mergeCell ref="P334:P335"/>
    <mergeCell ref="P345:P346"/>
    <mergeCell ref="P382:P383"/>
    <mergeCell ref="V300:V301"/>
    <mergeCell ref="V311:V312"/>
    <mergeCell ref="U160:U161"/>
    <mergeCell ref="U194:U195"/>
    <mergeCell ref="U205:U206"/>
    <mergeCell ref="U238:U239"/>
    <mergeCell ref="U251:U252"/>
    <mergeCell ref="U265:U266"/>
    <mergeCell ref="U287:U288"/>
    <mergeCell ref="U300:U301"/>
    <mergeCell ref="U311:U312"/>
    <mergeCell ref="W382:W383"/>
    <mergeCell ref="W393:W394"/>
    <mergeCell ref="W404:W405"/>
    <mergeCell ref="W415:W416"/>
    <mergeCell ref="W426:W427"/>
    <mergeCell ref="M7:M8"/>
    <mergeCell ref="M32:M33"/>
    <mergeCell ref="M160:M161"/>
    <mergeCell ref="M356:M357"/>
    <mergeCell ref="W160:W161"/>
    <mergeCell ref="W194:W195"/>
    <mergeCell ref="W205:W206"/>
    <mergeCell ref="W238:W239"/>
    <mergeCell ref="W251:W252"/>
    <mergeCell ref="W265:W266"/>
    <mergeCell ref="W287:W288"/>
    <mergeCell ref="W300:W301"/>
    <mergeCell ref="W311:W312"/>
    <mergeCell ref="V160:V161"/>
    <mergeCell ref="V194:V195"/>
    <mergeCell ref="V205:V206"/>
    <mergeCell ref="V238:V239"/>
    <mergeCell ref="V251:V252"/>
    <mergeCell ref="V265:V266"/>
  </mergeCells>
  <phoneticPr fontId="11" type="noConversion"/>
  <pageMargins left="0.44" right="0" top="0.39370078740157483" bottom="0.35433070866141736" header="0.47244094488188981" footer="0.27559055118110237"/>
  <pageSetup paperSize="9" fitToHeight="10" orientation="landscape" r:id="rId1"/>
  <headerFooter alignWithMargins="0"/>
  <rowBreaks count="1" manualBreakCount="1">
    <brk id="44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66"/>
  <sheetViews>
    <sheetView tabSelected="1" topLeftCell="A28" zoomScaleNormal="100" zoomScaleSheetLayoutView="100" workbookViewId="0">
      <selection activeCell="A62" sqref="A62"/>
    </sheetView>
  </sheetViews>
  <sheetFormatPr defaultRowHeight="12.75"/>
  <cols>
    <col min="1" max="1" width="7.85546875" customWidth="1"/>
    <col min="2" max="2" width="51.85546875" customWidth="1"/>
    <col min="3" max="4" width="14.5703125" customWidth="1"/>
    <col min="5" max="5" width="14" customWidth="1"/>
    <col min="6" max="6" width="11.85546875" customWidth="1"/>
    <col min="7" max="7" width="12.28515625" hidden="1" customWidth="1"/>
  </cols>
  <sheetData>
    <row r="1" spans="1:7" s="125" customFormat="1" ht="18.75">
      <c r="A1" s="120" t="s">
        <v>174</v>
      </c>
    </row>
    <row r="2" spans="1:7" ht="6" customHeight="1">
      <c r="A2" s="121"/>
    </row>
    <row r="3" spans="1:7" ht="18.75">
      <c r="A3" s="120" t="s">
        <v>175</v>
      </c>
    </row>
    <row r="4" spans="1:7" ht="13.5">
      <c r="A4" s="471" t="s">
        <v>176</v>
      </c>
      <c r="B4" s="470"/>
      <c r="C4" s="470"/>
      <c r="D4" s="470"/>
      <c r="E4" s="470"/>
      <c r="F4" s="470"/>
    </row>
    <row r="5" spans="1:7" ht="15.75">
      <c r="A5" s="123" t="s">
        <v>251</v>
      </c>
    </row>
    <row r="6" spans="1:7" ht="15.75">
      <c r="A6" s="220" t="s">
        <v>238</v>
      </c>
    </row>
    <row r="7" spans="1:7" ht="16.5" customHeight="1">
      <c r="A7" s="469" t="s">
        <v>252</v>
      </c>
      <c r="B7" s="470"/>
      <c r="C7" s="470"/>
      <c r="D7" s="470"/>
      <c r="E7" s="470"/>
      <c r="F7" s="470"/>
      <c r="G7" s="470"/>
    </row>
    <row r="8" spans="1:7" ht="16.5" customHeight="1">
      <c r="A8" s="469" t="s">
        <v>253</v>
      </c>
      <c r="B8" s="470"/>
      <c r="C8" s="470"/>
      <c r="D8" s="470"/>
      <c r="E8" s="470"/>
      <c r="F8" s="470"/>
      <c r="G8" s="290"/>
    </row>
    <row r="9" spans="1:7" ht="16.5" customHeight="1">
      <c r="A9" s="469" t="s">
        <v>254</v>
      </c>
      <c r="B9" s="470"/>
      <c r="C9" s="470"/>
      <c r="D9" s="470"/>
      <c r="E9" s="470"/>
      <c r="F9" s="470"/>
      <c r="G9" s="290"/>
    </row>
    <row r="10" spans="1:7" ht="15.75">
      <c r="A10" s="124"/>
      <c r="B10" s="469"/>
      <c r="C10" s="470"/>
      <c r="D10" s="470"/>
      <c r="E10" s="470"/>
      <c r="F10" s="470"/>
      <c r="G10" s="470"/>
    </row>
    <row r="11" spans="1:7" ht="30" customHeight="1">
      <c r="A11" s="471" t="s">
        <v>177</v>
      </c>
      <c r="B11" s="470"/>
      <c r="C11" s="470"/>
      <c r="D11" s="470"/>
      <c r="E11" s="470"/>
      <c r="F11" s="470"/>
    </row>
    <row r="12" spans="1:7" ht="13.5">
      <c r="A12" s="469" t="s">
        <v>239</v>
      </c>
      <c r="B12" s="470"/>
      <c r="C12" s="470"/>
      <c r="D12" s="470"/>
      <c r="E12" s="470"/>
      <c r="F12" s="470"/>
    </row>
    <row r="13" spans="1:7" ht="13.5">
      <c r="A13" s="469" t="s">
        <v>255</v>
      </c>
      <c r="B13" s="470"/>
      <c r="C13" s="470"/>
      <c r="D13" s="470"/>
      <c r="E13" s="470"/>
      <c r="F13" s="470"/>
    </row>
    <row r="14" spans="1:7" ht="15.75">
      <c r="A14" s="220" t="s">
        <v>214</v>
      </c>
      <c r="B14" s="216"/>
      <c r="C14" s="216"/>
      <c r="D14" s="216"/>
      <c r="E14" s="216"/>
      <c r="F14" s="216"/>
    </row>
    <row r="15" spans="1:7" ht="15.75">
      <c r="A15" s="220" t="s">
        <v>242</v>
      </c>
    </row>
    <row r="16" spans="1:7" ht="13.5">
      <c r="A16" s="469" t="s">
        <v>256</v>
      </c>
      <c r="B16" s="470"/>
      <c r="C16" s="470"/>
      <c r="D16" s="470"/>
      <c r="E16" s="470"/>
      <c r="F16" s="470"/>
    </row>
    <row r="17" spans="1:6" ht="13.5">
      <c r="A17" s="469" t="s">
        <v>257</v>
      </c>
      <c r="B17" s="470"/>
      <c r="C17" s="470"/>
      <c r="D17" s="470"/>
      <c r="E17" s="470"/>
      <c r="F17" s="470"/>
    </row>
    <row r="18" spans="1:6" ht="13.5">
      <c r="A18" s="469" t="s">
        <v>258</v>
      </c>
      <c r="B18" s="470"/>
      <c r="C18" s="470"/>
      <c r="D18" s="470"/>
      <c r="E18" s="470"/>
      <c r="F18" s="470"/>
    </row>
    <row r="19" spans="1:6" ht="15.75">
      <c r="A19" s="220"/>
    </row>
    <row r="20" spans="1:6" s="125" customFormat="1" ht="13.5" customHeight="1">
      <c r="A20" s="122" t="s">
        <v>178</v>
      </c>
      <c r="B20" s="122"/>
      <c r="C20" s="122"/>
      <c r="D20" s="122"/>
      <c r="E20" s="122"/>
      <c r="F20" s="122"/>
    </row>
    <row r="21" spans="1:6" ht="30" customHeight="1">
      <c r="A21" s="469" t="s">
        <v>259</v>
      </c>
      <c r="B21" s="470"/>
      <c r="C21" s="470"/>
      <c r="D21" s="470"/>
      <c r="E21" s="470"/>
      <c r="F21" s="470"/>
    </row>
    <row r="22" spans="1:6" ht="30.75" customHeight="1">
      <c r="A22" s="469" t="s">
        <v>260</v>
      </c>
      <c r="B22" s="470"/>
      <c r="C22" s="470"/>
      <c r="D22" s="470"/>
      <c r="E22" s="470"/>
      <c r="F22" s="470"/>
    </row>
    <row r="23" spans="1:6" ht="13.5">
      <c r="A23" s="469" t="s">
        <v>261</v>
      </c>
      <c r="B23" s="470"/>
      <c r="C23" s="470"/>
      <c r="D23" s="470"/>
      <c r="E23" s="470"/>
      <c r="F23" s="470"/>
    </row>
    <row r="24" spans="1:6" ht="15.75">
      <c r="A24" s="220" t="s">
        <v>243</v>
      </c>
      <c r="B24" s="223"/>
      <c r="C24" s="223"/>
      <c r="D24" s="223"/>
      <c r="E24" s="223"/>
      <c r="F24" s="223"/>
    </row>
    <row r="25" spans="1:6" ht="13.5">
      <c r="A25" s="469" t="s">
        <v>262</v>
      </c>
      <c r="B25" s="470"/>
      <c r="C25" s="470"/>
      <c r="D25" s="470"/>
      <c r="E25" s="470"/>
      <c r="F25" s="470"/>
    </row>
    <row r="26" spans="1:6" ht="13.5">
      <c r="A26" s="469" t="s">
        <v>263</v>
      </c>
      <c r="B26" s="470"/>
      <c r="C26" s="470"/>
      <c r="D26" s="470"/>
      <c r="E26" s="470"/>
      <c r="F26" s="470"/>
    </row>
    <row r="27" spans="1:6" ht="13.5">
      <c r="A27" s="469" t="s">
        <v>244</v>
      </c>
      <c r="B27" s="470"/>
      <c r="C27" s="470"/>
      <c r="D27" s="470"/>
      <c r="E27" s="470"/>
      <c r="F27" s="470"/>
    </row>
    <row r="28" spans="1:6" ht="15.75">
      <c r="A28" s="220" t="s">
        <v>264</v>
      </c>
      <c r="B28" s="223"/>
      <c r="C28" s="223"/>
      <c r="D28" s="223"/>
      <c r="E28" s="223"/>
      <c r="F28" s="223"/>
    </row>
    <row r="29" spans="1:6" ht="15.75">
      <c r="A29" s="220" t="s">
        <v>245</v>
      </c>
      <c r="B29" s="238"/>
      <c r="C29" s="238"/>
      <c r="D29" s="238"/>
      <c r="E29" s="238"/>
      <c r="F29" s="238"/>
    </row>
    <row r="30" spans="1:6" ht="15.75">
      <c r="A30" s="220" t="s">
        <v>265</v>
      </c>
      <c r="B30" s="290"/>
      <c r="C30" s="290"/>
      <c r="D30" s="290"/>
      <c r="E30" s="290"/>
      <c r="F30" s="290"/>
    </row>
    <row r="31" spans="1:6" ht="15.75">
      <c r="A31" s="220" t="s">
        <v>266</v>
      </c>
      <c r="B31" s="290"/>
      <c r="C31" s="290"/>
      <c r="D31" s="290"/>
      <c r="E31" s="290"/>
      <c r="F31" s="290"/>
    </row>
    <row r="32" spans="1:6" ht="15.75">
      <c r="A32" s="220"/>
      <c r="B32" s="238"/>
      <c r="C32" s="238"/>
      <c r="D32" s="238"/>
      <c r="E32" s="238"/>
      <c r="F32" s="238"/>
    </row>
    <row r="33" spans="1:6" ht="15.75">
      <c r="A33" s="122" t="s">
        <v>267</v>
      </c>
      <c r="B33" s="223"/>
      <c r="C33" s="223"/>
      <c r="D33" s="223"/>
      <c r="E33" s="223"/>
      <c r="F33" s="223"/>
    </row>
    <row r="34" spans="1:6" ht="15.75">
      <c r="A34" s="220" t="s">
        <v>268</v>
      </c>
      <c r="B34" s="223"/>
      <c r="C34" s="223"/>
      <c r="D34" s="223"/>
      <c r="E34" s="223"/>
      <c r="F34" s="223"/>
    </row>
    <row r="35" spans="1:6" ht="15.75">
      <c r="A35" s="220" t="s">
        <v>269</v>
      </c>
      <c r="B35" s="223"/>
      <c r="C35" s="223"/>
      <c r="D35" s="223"/>
      <c r="E35" s="223"/>
      <c r="F35" s="223"/>
    </row>
    <row r="36" spans="1:6" ht="28.5" hidden="1" customHeight="1">
      <c r="A36" s="472" t="s">
        <v>229</v>
      </c>
      <c r="B36" s="473"/>
      <c r="C36" s="473"/>
      <c r="D36" s="473"/>
      <c r="E36" s="473"/>
      <c r="F36" s="473"/>
    </row>
    <row r="37" spans="1:6" ht="15.75" hidden="1">
      <c r="A37" s="239" t="s">
        <v>230</v>
      </c>
    </row>
    <row r="38" spans="1:6" ht="15.75" hidden="1">
      <c r="A38" s="239" t="s">
        <v>231</v>
      </c>
    </row>
    <row r="39" spans="1:6" ht="15.75">
      <c r="A39" s="239"/>
    </row>
    <row r="40" spans="1:6" ht="13.5" customHeight="1">
      <c r="A40" s="122" t="s">
        <v>181</v>
      </c>
      <c r="B40" s="122"/>
      <c r="C40" s="122"/>
      <c r="D40" s="122"/>
      <c r="E40" s="122"/>
      <c r="F40" s="122"/>
    </row>
    <row r="41" spans="1:6" ht="13.5">
      <c r="A41" s="469" t="s">
        <v>270</v>
      </c>
      <c r="B41" s="470"/>
      <c r="C41" s="470"/>
      <c r="D41" s="470"/>
      <c r="E41" s="470"/>
      <c r="F41" s="470"/>
    </row>
    <row r="42" spans="1:6" ht="15.75">
      <c r="A42" s="124"/>
    </row>
    <row r="43" spans="1:6" ht="15.75" hidden="1">
      <c r="A43" s="270" t="s">
        <v>182</v>
      </c>
    </row>
    <row r="44" spans="1:6" ht="30" hidden="1" customHeight="1">
      <c r="A44" s="469" t="s">
        <v>221</v>
      </c>
      <c r="B44" s="470"/>
      <c r="C44" s="470"/>
      <c r="D44" s="470"/>
      <c r="E44" s="470"/>
      <c r="F44" s="470"/>
    </row>
    <row r="45" spans="1:6" ht="17.25" hidden="1" customHeight="1">
      <c r="A45" s="469" t="s">
        <v>223</v>
      </c>
      <c r="B45" s="470"/>
      <c r="C45" s="470"/>
      <c r="D45" s="470"/>
      <c r="E45" s="470"/>
      <c r="F45" s="470"/>
    </row>
    <row r="46" spans="1:6" ht="17.25" hidden="1" customHeight="1">
      <c r="A46" s="469" t="s">
        <v>232</v>
      </c>
      <c r="B46" s="470"/>
      <c r="C46" s="470"/>
      <c r="D46" s="470"/>
      <c r="E46" s="470"/>
      <c r="F46" s="470"/>
    </row>
    <row r="47" spans="1:6" ht="15.75" hidden="1">
      <c r="A47" s="469"/>
      <c r="B47" s="470"/>
      <c r="C47" s="470"/>
      <c r="D47" s="470"/>
      <c r="E47" s="470"/>
      <c r="F47" s="470"/>
    </row>
    <row r="48" spans="1:6" ht="15.75" hidden="1">
      <c r="A48" s="270" t="s">
        <v>219</v>
      </c>
      <c r="B48" s="223"/>
      <c r="C48" s="223"/>
      <c r="D48" s="223"/>
      <c r="E48" s="223"/>
      <c r="F48" s="223"/>
    </row>
    <row r="49" spans="1:6" s="125" customFormat="1" ht="15.75" hidden="1">
      <c r="A49" s="121" t="s">
        <v>220</v>
      </c>
      <c r="B49" s="225"/>
      <c r="C49" s="225"/>
      <c r="D49" s="225"/>
      <c r="E49" s="225"/>
      <c r="F49" s="225"/>
    </row>
    <row r="50" spans="1:6" s="125" customFormat="1" ht="15.75" hidden="1">
      <c r="A50" s="121" t="s">
        <v>224</v>
      </c>
      <c r="B50" s="225"/>
      <c r="C50" s="225"/>
      <c r="D50" s="225"/>
      <c r="E50" s="225"/>
      <c r="F50" s="225"/>
    </row>
    <row r="51" spans="1:6" ht="15.75" hidden="1">
      <c r="A51" s="239" t="s">
        <v>233</v>
      </c>
    </row>
    <row r="52" spans="1:6" ht="38.25" customHeight="1">
      <c r="A52" s="474" t="s">
        <v>179</v>
      </c>
      <c r="B52" s="474"/>
      <c r="C52" s="474"/>
      <c r="D52" s="474"/>
      <c r="E52" s="474"/>
      <c r="F52" s="474"/>
    </row>
    <row r="53" spans="1:6" ht="15.75">
      <c r="A53" s="124"/>
    </row>
    <row r="54" spans="1:6" ht="13.5">
      <c r="A54" s="469" t="s">
        <v>277</v>
      </c>
      <c r="B54" s="470"/>
      <c r="C54" s="470"/>
      <c r="D54" s="470"/>
      <c r="E54" s="470"/>
      <c r="F54" s="470"/>
    </row>
    <row r="55" spans="1:6" ht="16.5" customHeight="1">
      <c r="A55" s="469" t="s">
        <v>272</v>
      </c>
      <c r="B55" s="470"/>
      <c r="C55" s="470"/>
      <c r="D55" s="470"/>
      <c r="E55" s="470"/>
      <c r="F55" s="470"/>
    </row>
    <row r="56" spans="1:6" ht="15.75">
      <c r="A56" s="121" t="s">
        <v>274</v>
      </c>
    </row>
    <row r="57" spans="1:6" ht="15.75">
      <c r="A57" s="121" t="s">
        <v>273</v>
      </c>
    </row>
    <row r="58" spans="1:6" ht="6" customHeight="1">
      <c r="A58" s="121"/>
    </row>
    <row r="59" spans="1:6" ht="4.5" customHeight="1">
      <c r="A59" s="121"/>
    </row>
    <row r="60" spans="1:6" ht="15.75">
      <c r="A60" s="123" t="s">
        <v>213</v>
      </c>
    </row>
    <row r="61" spans="1:6" ht="15" customHeight="1">
      <c r="A61" s="469" t="s">
        <v>278</v>
      </c>
      <c r="B61" s="470"/>
      <c r="C61" s="470"/>
      <c r="D61" s="470"/>
      <c r="E61" s="470"/>
      <c r="F61" s="470"/>
    </row>
    <row r="62" spans="1:6" ht="15.75">
      <c r="A62" s="121" t="s">
        <v>275</v>
      </c>
    </row>
    <row r="63" spans="1:6" ht="15.75">
      <c r="A63" s="121" t="s">
        <v>276</v>
      </c>
    </row>
    <row r="64" spans="1:6" ht="15.75">
      <c r="A64" s="121"/>
    </row>
    <row r="65" spans="1:6" ht="35.25" customHeight="1">
      <c r="A65" s="474" t="s">
        <v>180</v>
      </c>
      <c r="B65" s="474"/>
      <c r="C65" s="474"/>
      <c r="D65" s="474"/>
      <c r="E65" s="474"/>
      <c r="F65" s="474"/>
    </row>
    <row r="66" spans="1:6" ht="15.75">
      <c r="A66" s="123" t="s">
        <v>271</v>
      </c>
      <c r="B66" s="125"/>
    </row>
  </sheetData>
  <mergeCells count="28">
    <mergeCell ref="A61:F61"/>
    <mergeCell ref="A65:F65"/>
    <mergeCell ref="A4:F4"/>
    <mergeCell ref="A25:F25"/>
    <mergeCell ref="A26:F26"/>
    <mergeCell ref="A41:F41"/>
    <mergeCell ref="A52:F52"/>
    <mergeCell ref="A21:F21"/>
    <mergeCell ref="A22:F22"/>
    <mergeCell ref="A23:F23"/>
    <mergeCell ref="B10:G10"/>
    <mergeCell ref="A47:F47"/>
    <mergeCell ref="A45:F45"/>
    <mergeCell ref="A13:F13"/>
    <mergeCell ref="A54:F54"/>
    <mergeCell ref="A55:F55"/>
    <mergeCell ref="A46:F46"/>
    <mergeCell ref="A7:G7"/>
    <mergeCell ref="A11:F11"/>
    <mergeCell ref="A12:F12"/>
    <mergeCell ref="A44:F44"/>
    <mergeCell ref="A36:F36"/>
    <mergeCell ref="A16:F16"/>
    <mergeCell ref="A27:F27"/>
    <mergeCell ref="A8:F8"/>
    <mergeCell ref="A9:F9"/>
    <mergeCell ref="A17:F17"/>
    <mergeCell ref="A18:F18"/>
  </mergeCells>
  <phoneticPr fontId="11" type="noConversion"/>
  <pageMargins left="0.83" right="0.23" top="0.6" bottom="0.26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2011-2014 надбавка к тарифу</vt:lpstr>
      <vt:lpstr>2011-2014 тариф на подключение</vt:lpstr>
      <vt:lpstr>пояснительная записка</vt:lpstr>
      <vt:lpstr>'2011-2014 надбавка к тарифу'!Заголовки_для_печати</vt:lpstr>
      <vt:lpstr>'2011-2014 надбавка к тарифу'!Область_печати</vt:lpstr>
      <vt:lpstr>'2011-2014 тариф на подключение'!Область_печати</vt:lpstr>
    </vt:vector>
  </TitlesOfParts>
  <Company>МУП "Водоканал"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Герлиц Денис Валерьевич</dc:creator>
  <cp:lastModifiedBy>orpr-04</cp:lastModifiedBy>
  <cp:lastPrinted>2014-03-03T09:35:38Z</cp:lastPrinted>
  <dcterms:created xsi:type="dcterms:W3CDTF">2007-06-04T05:14:43Z</dcterms:created>
  <dcterms:modified xsi:type="dcterms:W3CDTF">2014-03-03T09:47:14Z</dcterms:modified>
</cp:coreProperties>
</file>